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709"/>
  <workbookPr codeName="ЭтаКнига" autoCompressPictures="0"/>
  <bookViews>
    <workbookView xWindow="0" yWindow="0" windowWidth="28800" windowHeight="18000" firstSheet="19" activeTab="24"/>
  </bookViews>
  <sheets>
    <sheet name="ПЛ без экипировки ДК" sheetId="12" r:id="rId1"/>
    <sheet name="ПЛ без экипировки" sheetId="11" r:id="rId2"/>
    <sheet name="ПЛ в бинтах ДК" sheetId="8" r:id="rId3"/>
    <sheet name="ПЛ в бинтах" sheetId="5" r:id="rId4"/>
    <sheet name="ПЛ однослой ДК" sheetId="9" r:id="rId5"/>
    <sheet name="Присед без экипировки ДК" sheetId="26" r:id="rId6"/>
    <sheet name="Жим без экипировки ДК" sheetId="18" r:id="rId7"/>
    <sheet name="Жим без экипировки" sheetId="17" r:id="rId8"/>
    <sheet name="Жим однослой ДК" sheetId="15" r:id="rId9"/>
    <sheet name="Жим однослой" sheetId="13" r:id="rId10"/>
    <sheet name="Тяга без экипировки ДК" sheetId="30" r:id="rId11"/>
    <sheet name="Тяга без экипировки" sheetId="28" r:id="rId12"/>
    <sheet name="Тяга в экипировке ДК" sheetId="29" r:id="rId13"/>
    <sheet name="СПР Жим софт &quot;Стандарт&quot; д.к." sheetId="32" r:id="rId14"/>
    <sheet name="СПР Жим софт &quot;Стандарт&quot;" sheetId="33" r:id="rId15"/>
    <sheet name="СПР Жим софт &quot;Ультра&quot; д.к." sheetId="31" r:id="rId16"/>
    <sheet name="СПР НЖ 1_2 вес д.к." sheetId="35" r:id="rId17"/>
    <sheet name="СПР НЖ 1 вес д.к." sheetId="36" r:id="rId18"/>
    <sheet name="СПР НЖ 1_2 вес" sheetId="37" r:id="rId19"/>
    <sheet name="СПР НЖ 1 вес" sheetId="38" r:id="rId20"/>
    <sheet name="Apollon`s Axle" sheetId="34" r:id="rId21"/>
    <sheet name="ЖД любители ДК" sheetId="41" r:id="rId22"/>
    <sheet name="ЖД любители" sheetId="42" r:id="rId23"/>
    <sheet name="ЖД софт однослой" sheetId="43" r:id="rId24"/>
    <sheet name="Воен. жим на макс" sheetId="40" r:id="rId25"/>
    <sheet name="Воен. жим многоповт" sheetId="39" r:id="rId26"/>
    <sheet name="Командный зачет" sheetId="44" r:id="rId27"/>
    <sheet name="Судейская бригада" sheetId="45" r:id="rId28"/>
  </sheets>
  <definedNames>
    <definedName name="_xlnm._FilterDatabase" localSheetId="3" hidden="1">'ПЛ в бинтах'!$B$1:$T$3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43" l="1"/>
  <c r="E6" i="43"/>
  <c r="O12" i="42"/>
  <c r="E12" i="42"/>
  <c r="O9" i="42"/>
  <c r="E9" i="42"/>
  <c r="O6" i="42"/>
  <c r="E6" i="42"/>
  <c r="O9" i="41"/>
  <c r="E9" i="41"/>
  <c r="O6" i="41"/>
  <c r="E6" i="41"/>
  <c r="M6" i="40"/>
  <c r="E6" i="40"/>
  <c r="K6" i="39"/>
  <c r="E6" i="39"/>
  <c r="K22" i="38"/>
  <c r="E22" i="38"/>
  <c r="K19" i="38"/>
  <c r="E19" i="38"/>
  <c r="K16" i="38"/>
  <c r="E16" i="38"/>
  <c r="K15" i="38"/>
  <c r="E15" i="38"/>
  <c r="K12" i="38"/>
  <c r="E12" i="38"/>
  <c r="K11" i="38"/>
  <c r="E11" i="38"/>
  <c r="K10" i="38"/>
  <c r="E10" i="38"/>
  <c r="K9" i="38"/>
  <c r="E9" i="38"/>
  <c r="K6" i="38"/>
  <c r="E6" i="38"/>
  <c r="K9" i="37"/>
  <c r="E9" i="37"/>
  <c r="K6" i="37"/>
  <c r="E6" i="37"/>
  <c r="K14" i="36"/>
  <c r="E14" i="36"/>
  <c r="K11" i="36"/>
  <c r="E11" i="36"/>
  <c r="K10" i="36"/>
  <c r="E10" i="36"/>
  <c r="K7" i="36"/>
  <c r="E7" i="36"/>
  <c r="K6" i="36"/>
  <c r="E6" i="36"/>
  <c r="K6" i="35"/>
  <c r="E6" i="35"/>
  <c r="L6" i="34"/>
  <c r="E6" i="34"/>
  <c r="M15" i="33"/>
  <c r="E15" i="33"/>
  <c r="M12" i="33"/>
  <c r="E12" i="33"/>
  <c r="M9" i="33"/>
  <c r="E9" i="33"/>
  <c r="M6" i="33"/>
  <c r="E6" i="33"/>
  <c r="M25" i="32"/>
  <c r="E25" i="32"/>
  <c r="M22" i="32"/>
  <c r="E22" i="32"/>
  <c r="M19" i="32"/>
  <c r="E19" i="32"/>
  <c r="M16" i="32"/>
  <c r="E16" i="32"/>
  <c r="M15" i="32"/>
  <c r="E15" i="32"/>
  <c r="M12" i="32"/>
  <c r="E12" i="32"/>
  <c r="M9" i="32"/>
  <c r="E9" i="32"/>
  <c r="M6" i="32"/>
  <c r="E6" i="32"/>
  <c r="M6" i="31"/>
  <c r="E6" i="31"/>
  <c r="U21" i="5"/>
  <c r="E21" i="5"/>
  <c r="U18" i="5"/>
  <c r="E18" i="5"/>
  <c r="U17" i="5"/>
  <c r="E17" i="5"/>
  <c r="U16" i="5"/>
  <c r="E16" i="5"/>
  <c r="U13" i="5"/>
  <c r="E13" i="5"/>
  <c r="U12" i="5"/>
  <c r="E12" i="5"/>
  <c r="U9" i="5"/>
  <c r="E9" i="5"/>
  <c r="U6" i="5"/>
  <c r="E6" i="5"/>
  <c r="U10" i="8"/>
  <c r="E10" i="8"/>
  <c r="U7" i="8"/>
  <c r="E7" i="8"/>
  <c r="U6" i="8"/>
  <c r="E6" i="8"/>
  <c r="U9" i="9"/>
  <c r="E9" i="9"/>
  <c r="U6" i="9"/>
  <c r="E6" i="9"/>
  <c r="U15" i="11"/>
  <c r="E15" i="11"/>
  <c r="U12" i="11"/>
  <c r="E12" i="11"/>
  <c r="U9" i="11"/>
  <c r="E9" i="11"/>
  <c r="U6" i="11"/>
  <c r="E6" i="11"/>
  <c r="U25" i="12"/>
  <c r="E25" i="12"/>
  <c r="U22" i="12"/>
  <c r="E22" i="12"/>
  <c r="U19" i="12"/>
  <c r="E19" i="12"/>
  <c r="U16" i="12"/>
  <c r="E16" i="12"/>
  <c r="U13" i="12"/>
  <c r="E13" i="12"/>
  <c r="U10" i="12"/>
  <c r="E10" i="12"/>
  <c r="U7" i="12"/>
  <c r="E7" i="12"/>
  <c r="U6" i="12"/>
  <c r="E6" i="12"/>
  <c r="M6" i="13"/>
  <c r="E6" i="13"/>
  <c r="M7" i="15"/>
  <c r="E7" i="15"/>
  <c r="M6" i="15"/>
  <c r="E6" i="15"/>
  <c r="M45" i="17"/>
  <c r="E45" i="17"/>
  <c r="M44" i="17"/>
  <c r="E44" i="17"/>
  <c r="M43" i="17"/>
  <c r="E43" i="17"/>
  <c r="M42" i="17"/>
  <c r="E42" i="17"/>
  <c r="M41" i="17"/>
  <c r="E41" i="17"/>
  <c r="M38" i="17"/>
  <c r="E38" i="17"/>
  <c r="M37" i="17"/>
  <c r="E37" i="17"/>
  <c r="M36" i="17"/>
  <c r="E36" i="17"/>
  <c r="M35" i="17"/>
  <c r="E35" i="17"/>
  <c r="M34" i="17"/>
  <c r="E34" i="17"/>
  <c r="M33" i="17"/>
  <c r="E33" i="17"/>
  <c r="M30" i="17"/>
  <c r="E30" i="17"/>
  <c r="M29" i="17"/>
  <c r="E29" i="17"/>
  <c r="M28" i="17"/>
  <c r="E28" i="17"/>
  <c r="M27" i="17"/>
  <c r="E27" i="17"/>
  <c r="M26" i="17"/>
  <c r="E26" i="17"/>
  <c r="M25" i="17"/>
  <c r="E25" i="17"/>
  <c r="M24" i="17"/>
  <c r="E24" i="17"/>
  <c r="M21" i="17"/>
  <c r="E21" i="17"/>
  <c r="M20" i="17"/>
  <c r="E20" i="17"/>
  <c r="M19" i="17"/>
  <c r="E19" i="17"/>
  <c r="M18" i="17"/>
  <c r="E18" i="17"/>
  <c r="M17" i="17"/>
  <c r="E17" i="17"/>
  <c r="M14" i="17"/>
  <c r="E14" i="17"/>
  <c r="M13" i="17"/>
  <c r="E13" i="17"/>
  <c r="M10" i="17"/>
  <c r="E10" i="17"/>
  <c r="M7" i="17"/>
  <c r="E7" i="17"/>
  <c r="M6" i="17"/>
  <c r="E6" i="17"/>
  <c r="M41" i="18"/>
  <c r="E41" i="18"/>
  <c r="M38" i="18"/>
  <c r="E38" i="18"/>
  <c r="M37" i="18"/>
  <c r="E37" i="18"/>
  <c r="M34" i="18"/>
  <c r="E34" i="18"/>
  <c r="M33" i="18"/>
  <c r="E33" i="18"/>
  <c r="M32" i="18"/>
  <c r="E32" i="18"/>
  <c r="M31" i="18"/>
  <c r="E31" i="18"/>
  <c r="M28" i="18"/>
  <c r="E28" i="18"/>
  <c r="M27" i="18"/>
  <c r="E27" i="18"/>
  <c r="M26" i="18"/>
  <c r="E26" i="18"/>
  <c r="M25" i="18"/>
  <c r="E25" i="18"/>
  <c r="M24" i="18"/>
  <c r="E24" i="18"/>
  <c r="M21" i="18"/>
  <c r="E21" i="18"/>
  <c r="M20" i="18"/>
  <c r="E20" i="18"/>
  <c r="M19" i="18"/>
  <c r="E19" i="18"/>
  <c r="M18" i="18"/>
  <c r="E18" i="18"/>
  <c r="M17" i="18"/>
  <c r="E17" i="18"/>
  <c r="M14" i="18"/>
  <c r="E14" i="18"/>
  <c r="M11" i="18"/>
  <c r="E11" i="18"/>
  <c r="M10" i="18"/>
  <c r="E10" i="18"/>
  <c r="M7" i="18"/>
  <c r="E7" i="18"/>
  <c r="M6" i="18"/>
  <c r="E6" i="18"/>
  <c r="M9" i="26"/>
  <c r="E9" i="26"/>
  <c r="M6" i="26"/>
  <c r="E6" i="26"/>
  <c r="M14" i="28"/>
  <c r="E14" i="28"/>
  <c r="M11" i="28"/>
  <c r="E11" i="28"/>
  <c r="M8" i="28"/>
  <c r="E8" i="28"/>
  <c r="M7" i="28"/>
  <c r="E7" i="28"/>
  <c r="M6" i="28"/>
  <c r="E6" i="28"/>
  <c r="M6" i="29"/>
  <c r="E6" i="29"/>
  <c r="M39" i="30"/>
  <c r="E39" i="30"/>
  <c r="M36" i="30"/>
  <c r="E36" i="30"/>
  <c r="M33" i="30"/>
  <c r="E33" i="30"/>
  <c r="M32" i="30"/>
  <c r="E32" i="30"/>
  <c r="M29" i="30"/>
  <c r="E29" i="30"/>
  <c r="M26" i="30"/>
  <c r="E26" i="30"/>
  <c r="M23" i="30"/>
  <c r="E23" i="30"/>
  <c r="M22" i="30"/>
  <c r="E22" i="30"/>
  <c r="M19" i="30"/>
  <c r="E19" i="30"/>
  <c r="M16" i="30"/>
  <c r="E16" i="30"/>
  <c r="M13" i="30"/>
  <c r="E13" i="30"/>
  <c r="M10" i="30"/>
  <c r="E10" i="30"/>
  <c r="M9" i="30"/>
  <c r="E9" i="30"/>
  <c r="M6" i="30"/>
  <c r="E6" i="30"/>
</calcChain>
</file>

<file path=xl/sharedStrings.xml><?xml version="1.0" encoding="utf-8"?>
<sst xmlns="http://schemas.openxmlformats.org/spreadsheetml/2006/main" count="2054" uniqueCount="636">
  <si>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</si>
  <si>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</si>
  <si>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</si>
  <si>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</si>
  <si>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</si>
  <si>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</si>
  <si>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</si>
  <si>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</si>
  <si>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</si>
  <si>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</si>
  <si>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56</t>
  </si>
  <si>
    <t>Побегуц Елена</t>
  </si>
  <si>
    <t>Открытая (03.11.1984)/33</t>
  </si>
  <si>
    <t xml:space="preserve">Лично </t>
  </si>
  <si>
    <t xml:space="preserve">Вольск/Саратовская область </t>
  </si>
  <si>
    <t>107,5</t>
  </si>
  <si>
    <t>117,5</t>
  </si>
  <si>
    <t>47,5</t>
  </si>
  <si>
    <t>50,0</t>
  </si>
  <si>
    <t>110,0</t>
  </si>
  <si>
    <t>120,0</t>
  </si>
  <si>
    <t>125,0</t>
  </si>
  <si>
    <t>Коновалов Алексей</t>
  </si>
  <si>
    <t>Открытая (09.08.1993)/24</t>
  </si>
  <si>
    <t xml:space="preserve">Самара/Самарская область </t>
  </si>
  <si>
    <t>80,0</t>
  </si>
  <si>
    <t>90,0</t>
  </si>
  <si>
    <t>60,0</t>
  </si>
  <si>
    <t>65,0</t>
  </si>
  <si>
    <t>ВЕСОВАЯ КАТЕГОРИЯ   75</t>
  </si>
  <si>
    <t>Доровских Вячеслав</t>
  </si>
  <si>
    <t>Юниоры 20 - 23 (29.01.1995)/22</t>
  </si>
  <si>
    <t xml:space="preserve">Нефтегорск/Самарская область </t>
  </si>
  <si>
    <t>200,0</t>
  </si>
  <si>
    <t>205,0</t>
  </si>
  <si>
    <t>212,5</t>
  </si>
  <si>
    <t>102,5</t>
  </si>
  <si>
    <t>112,5</t>
  </si>
  <si>
    <t>215,0</t>
  </si>
  <si>
    <t>230,0</t>
  </si>
  <si>
    <t>Открытая (29.01.1995)/22</t>
  </si>
  <si>
    <t>ВЕСОВАЯ КАТЕГОРИЯ   90</t>
  </si>
  <si>
    <t>Решетов Дмитрий</t>
  </si>
  <si>
    <t>Открытая (05.06.1978)/39</t>
  </si>
  <si>
    <t xml:space="preserve">графит </t>
  </si>
  <si>
    <t>220,0</t>
  </si>
  <si>
    <t>235,0</t>
  </si>
  <si>
    <t>250,0</t>
  </si>
  <si>
    <t>140,0</t>
  </si>
  <si>
    <t>150,0</t>
  </si>
  <si>
    <t>155,0</t>
  </si>
  <si>
    <t>240,0</t>
  </si>
  <si>
    <t>252,5</t>
  </si>
  <si>
    <t>260,0</t>
  </si>
  <si>
    <t>Рачёв Илья</t>
  </si>
  <si>
    <t>Открытая (01.05.1986)/31</t>
  </si>
  <si>
    <t>160,0</t>
  </si>
  <si>
    <t>Семченко Максим</t>
  </si>
  <si>
    <t>Открытая (16.07.1989)/28</t>
  </si>
  <si>
    <t>225,0</t>
  </si>
  <si>
    <t>170,0</t>
  </si>
  <si>
    <t>247,5</t>
  </si>
  <si>
    <t>ВЕСОВАЯ КАТЕГОРИЯ   110</t>
  </si>
  <si>
    <t>Елютин Андрей</t>
  </si>
  <si>
    <t>Открытая (13.02.1986)/31</t>
  </si>
  <si>
    <t xml:space="preserve">Чапаевск/Самарская область </t>
  </si>
  <si>
    <t>145,0</t>
  </si>
  <si>
    <t>0.00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</si>
  <si>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</si>
  <si>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</si>
  <si>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</si>
  <si>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</si>
  <si>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</si>
  <si>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</si>
  <si>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</si>
  <si>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</si>
  <si>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 xml:space="preserve">90 </t>
  </si>
  <si>
    <t>660,0</t>
  </si>
  <si>
    <t>Стоякин Дмитрий</t>
  </si>
  <si>
    <t>Юниоры 20 - 23 (27.10.1994)/23</t>
  </si>
  <si>
    <t xml:space="preserve">Локомотив </t>
  </si>
  <si>
    <t xml:space="preserve">Бузулук/Оренбургская область </t>
  </si>
  <si>
    <t>165,0</t>
  </si>
  <si>
    <t>190,0</t>
  </si>
  <si>
    <t>207,5</t>
  </si>
  <si>
    <t xml:space="preserve">Калинин Д.а. </t>
  </si>
  <si>
    <t>Зотов Иван</t>
  </si>
  <si>
    <t>Открытая (27.09.1984)/33</t>
  </si>
  <si>
    <t>Колычин Дмитрий</t>
  </si>
  <si>
    <t>Открытая (26.11.1981)/36</t>
  </si>
  <si>
    <t xml:space="preserve">Кошелев Gym </t>
  </si>
  <si>
    <t>130,0</t>
  </si>
  <si>
    <t>180,0</t>
  </si>
  <si>
    <t>ВЕСОВАЯ КАТЕГОРИЯ   67.5</t>
  </si>
  <si>
    <t>Ероскина Екатерина</t>
  </si>
  <si>
    <t>Открытая (11.09.1982)/35</t>
  </si>
  <si>
    <t>115,0</t>
  </si>
  <si>
    <t>70,0</t>
  </si>
  <si>
    <t>75,0</t>
  </si>
  <si>
    <t>135,0</t>
  </si>
  <si>
    <t xml:space="preserve">Крюков А. </t>
  </si>
  <si>
    <t>Ермолаев Вадим</t>
  </si>
  <si>
    <t>Мастера 40 - 44 (20.02.1976)/41</t>
  </si>
  <si>
    <t>195,0</t>
  </si>
  <si>
    <t>330,0</t>
  </si>
  <si>
    <t>510,0</t>
  </si>
  <si>
    <t>Голышев Николай</t>
  </si>
  <si>
    <t>Юниоры 20 - 23 (03.04.1996)/21</t>
  </si>
  <si>
    <t xml:space="preserve">Отрадный/Самарская область </t>
  </si>
  <si>
    <t>105,0</t>
  </si>
  <si>
    <t>Гриджук Константин</t>
  </si>
  <si>
    <t>Открытая (01.05.1988)/29</t>
  </si>
  <si>
    <t>210,0</t>
  </si>
  <si>
    <t>ВЕСОВАЯ КАТЕГОРИЯ   100</t>
  </si>
  <si>
    <t>Теплов Денис</t>
  </si>
  <si>
    <t>Открытая (21.12.1993)/24</t>
  </si>
  <si>
    <t xml:space="preserve">Ботек </t>
  </si>
  <si>
    <t>185,0</t>
  </si>
  <si>
    <t>Ерошкин Евгений</t>
  </si>
  <si>
    <t>Открытая (11.04.1979)/38</t>
  </si>
  <si>
    <t>175,0</t>
  </si>
  <si>
    <t>255,0</t>
  </si>
  <si>
    <t>455,0</t>
  </si>
  <si>
    <t xml:space="preserve">110 </t>
  </si>
  <si>
    <t>590,0</t>
  </si>
  <si>
    <t xml:space="preserve">100 </t>
  </si>
  <si>
    <t>545,0</t>
  </si>
  <si>
    <t>ВЕСОВАЯ КАТЕГОРИЯ   48</t>
  </si>
  <si>
    <t>Кузнецова Ольга</t>
  </si>
  <si>
    <t>Юниорки 20 - 23 (03.03.1994)/23</t>
  </si>
  <si>
    <t>85,0</t>
  </si>
  <si>
    <t>40,0</t>
  </si>
  <si>
    <t>45,0</t>
  </si>
  <si>
    <t>100,0</t>
  </si>
  <si>
    <t xml:space="preserve">Самостоятельно </t>
  </si>
  <si>
    <t>Кудакова Ирина</t>
  </si>
  <si>
    <t>Открытая (15.03.1987)/30</t>
  </si>
  <si>
    <t>32,5</t>
  </si>
  <si>
    <t>35,0</t>
  </si>
  <si>
    <t>37,5</t>
  </si>
  <si>
    <t>Усимова Александра</t>
  </si>
  <si>
    <t>Открытая (28.10.1985)/32</t>
  </si>
  <si>
    <t>ВЕСОВАЯ КАТЕГОРИЯ   60</t>
  </si>
  <si>
    <t>Кнутова Татьяна</t>
  </si>
  <si>
    <t>Открытая (16.06.1972)/45</t>
  </si>
  <si>
    <t>67,5</t>
  </si>
  <si>
    <t>72,5</t>
  </si>
  <si>
    <t>Мухаметшина Екатерина</t>
  </si>
  <si>
    <t>Открытая (03.02.1990)/27</t>
  </si>
  <si>
    <t>Кузьмин Никита</t>
  </si>
  <si>
    <t>Юноши 15-19 (15.02.2001)/16</t>
  </si>
  <si>
    <t>95,0</t>
  </si>
  <si>
    <t>Волков Александр</t>
  </si>
  <si>
    <t>Юниоры 20 - 23 (10.11.1997)/20</t>
  </si>
  <si>
    <t>Якубин Спартак</t>
  </si>
  <si>
    <t>Юноши 15-19 (15.11.2001)/16</t>
  </si>
  <si>
    <t>122,5</t>
  </si>
  <si>
    <t>187,5</t>
  </si>
  <si>
    <t>385,0</t>
  </si>
  <si>
    <t>465,0</t>
  </si>
  <si>
    <t>390,0</t>
  </si>
  <si>
    <t>Финк Владислав</t>
  </si>
  <si>
    <t>Открытая (05.05.1977)/40</t>
  </si>
  <si>
    <t xml:space="preserve">Тольятти/Самарская область </t>
  </si>
  <si>
    <t>222,5</t>
  </si>
  <si>
    <t>ВЕСОВАЯ КАТЕГОРИЯ   82.5</t>
  </si>
  <si>
    <t>Яковлев Максим</t>
  </si>
  <si>
    <t>Открытая (17.06.1982)/35</t>
  </si>
  <si>
    <t xml:space="preserve">На пульсе жизни </t>
  </si>
  <si>
    <t>172,5</t>
  </si>
  <si>
    <t>177,5</t>
  </si>
  <si>
    <t>Оверченко Игорь</t>
  </si>
  <si>
    <t>Открытая (30.06.1992)/25</t>
  </si>
  <si>
    <t xml:space="preserve">82.5 </t>
  </si>
  <si>
    <t>ВЕСОВАЯ КАТЕГОРИЯ   52</t>
  </si>
  <si>
    <t>Балантаев Данила</t>
  </si>
  <si>
    <t>Юноши 15-19 (16.08.2002)/15</t>
  </si>
  <si>
    <t>52,5</t>
  </si>
  <si>
    <t>Хуметкулиев Марат</t>
  </si>
  <si>
    <t>Открытая (26.03.1990)/27</t>
  </si>
  <si>
    <t>Куклев Роман</t>
  </si>
  <si>
    <t>Открытая (20.02.2003)/14</t>
  </si>
  <si>
    <t>57,5</t>
  </si>
  <si>
    <t>62,5</t>
  </si>
  <si>
    <t>Каримов Вадим</t>
  </si>
  <si>
    <t>Юноши 15-19 (21.05.1998)/19</t>
  </si>
  <si>
    <t xml:space="preserve">Оренбург/Оренбургская область </t>
  </si>
  <si>
    <t>Исаков Станислав</t>
  </si>
  <si>
    <t>Открытая (27.07.1991)/26</t>
  </si>
  <si>
    <t>Христов Игорь</t>
  </si>
  <si>
    <t>Юниоры 20 - 23 (11.10.1994)/23</t>
  </si>
  <si>
    <t xml:space="preserve">Октябрьск/Самарская область </t>
  </si>
  <si>
    <t>142,5</t>
  </si>
  <si>
    <t>Иваев Руслан</t>
  </si>
  <si>
    <t>Открытая (08.09.1986)/31</t>
  </si>
  <si>
    <t>Кистанов Владимир</t>
  </si>
  <si>
    <t>Открытая (15.04.1991)/26</t>
  </si>
  <si>
    <t>Гордеев Борис</t>
  </si>
  <si>
    <t>Открытая (25.08.1981)/36</t>
  </si>
  <si>
    <t>Подусов Денис</t>
  </si>
  <si>
    <t>Открытая (03.07.1984)/33</t>
  </si>
  <si>
    <t>Зарипов Рафаиль</t>
  </si>
  <si>
    <t>Юноши 15-19 (16.04.2001)/16</t>
  </si>
  <si>
    <t>Аверьянов Владислав</t>
  </si>
  <si>
    <t>Юниоры 20 - 23 (25.01.1996)/21</t>
  </si>
  <si>
    <t>Открытая (25.01.1996)/21</t>
  </si>
  <si>
    <t>Семенов Максим</t>
  </si>
  <si>
    <t>Открытая (03.02.1981)/36</t>
  </si>
  <si>
    <t>162,5</t>
  </si>
  <si>
    <t>167,5</t>
  </si>
  <si>
    <t>Вашурин Евгений</t>
  </si>
  <si>
    <t>Открытая (03.03.1980)/37</t>
  </si>
  <si>
    <t xml:space="preserve">Кin Up </t>
  </si>
  <si>
    <t>Солдатов Максим</t>
  </si>
  <si>
    <t>Открытая (27.09.1982)/35</t>
  </si>
  <si>
    <t>152,5</t>
  </si>
  <si>
    <t>Собакинских Александр</t>
  </si>
  <si>
    <t>Открытая (14.07.1992)/25</t>
  </si>
  <si>
    <t>Шаипов Илья</t>
  </si>
  <si>
    <t>Юниоры 20 - 23 (27.07.1996)/21</t>
  </si>
  <si>
    <t>Шарафисламов Артур</t>
  </si>
  <si>
    <t>Открытая (20.01.1996)/21</t>
  </si>
  <si>
    <t>Гусейнов Игорь</t>
  </si>
  <si>
    <t>Открытая (06.05.1988)/29</t>
  </si>
  <si>
    <t>Никифоров Дмитрий</t>
  </si>
  <si>
    <t>Открытая (25.08.1989)/28</t>
  </si>
  <si>
    <t>Курченко Павел</t>
  </si>
  <si>
    <t>Открытая (02.03.1989)/28</t>
  </si>
  <si>
    <t>Шишлов Андрей</t>
  </si>
  <si>
    <t>Открытая (29.05.1990)/27</t>
  </si>
  <si>
    <t>Васильев Максим</t>
  </si>
  <si>
    <t>Юноши 15-19 (29.04.1999)/18</t>
  </si>
  <si>
    <t>Хорощенко Николай</t>
  </si>
  <si>
    <t>Открытая (28.06.1986)/31</t>
  </si>
  <si>
    <t>192,5</t>
  </si>
  <si>
    <t>197,5</t>
  </si>
  <si>
    <t>Мухортов Дмитрий</t>
  </si>
  <si>
    <t>Открытая (01.02.1987)/30</t>
  </si>
  <si>
    <t>Магер Дмитрий</t>
  </si>
  <si>
    <t>Открытая (19.07.1989)/28</t>
  </si>
  <si>
    <t>Коробко Сергей</t>
  </si>
  <si>
    <t>Открытая (26.06.1985)/32</t>
  </si>
  <si>
    <t>119,1400</t>
  </si>
  <si>
    <t>122,5575</t>
  </si>
  <si>
    <t>119,4875</t>
  </si>
  <si>
    <t>Курдина Юлия</t>
  </si>
  <si>
    <t>Открытая (31.03.1992)/25</t>
  </si>
  <si>
    <t xml:space="preserve">Kin Up Team </t>
  </si>
  <si>
    <t>Нурмеева Юлия</t>
  </si>
  <si>
    <t>Открытая (08.06.1984)/33</t>
  </si>
  <si>
    <t>Чекашов Артем</t>
  </si>
  <si>
    <t>Юноши 15-19 (30.12.2001)/15</t>
  </si>
  <si>
    <t>Калявин Максим</t>
  </si>
  <si>
    <t>Открытая (10.04.1989)/28</t>
  </si>
  <si>
    <t>Стрельников Кирилл</t>
  </si>
  <si>
    <t>Юноши 15-19 (25.04.1999)/18</t>
  </si>
  <si>
    <t>Лукьяненко Денис</t>
  </si>
  <si>
    <t>Юноши 15-19 (19.06.1998)/19</t>
  </si>
  <si>
    <t>Шкавро Олег</t>
  </si>
  <si>
    <t>Открытая (08.07.1989)/28</t>
  </si>
  <si>
    <t>127,5</t>
  </si>
  <si>
    <t>Юшкевич Роман</t>
  </si>
  <si>
    <t>Открытая (26.07.1993)/24</t>
  </si>
  <si>
    <t>Семеня Игорь</t>
  </si>
  <si>
    <t>Открытая (02.05.1991)/26</t>
  </si>
  <si>
    <t>Сурин Айдар</t>
  </si>
  <si>
    <t>Открытая (01.02.1993)/24</t>
  </si>
  <si>
    <t>Плотников Владимир</t>
  </si>
  <si>
    <t>Открытая (24.06.1981)/36</t>
  </si>
  <si>
    <t>Мохов Сергей</t>
  </si>
  <si>
    <t>Открытая (22.10.1987)/30</t>
  </si>
  <si>
    <t>147,5</t>
  </si>
  <si>
    <t>Фонарёв Сергей</t>
  </si>
  <si>
    <t>Открытая (01.09.1984)/33</t>
  </si>
  <si>
    <t>Карлов Виталий</t>
  </si>
  <si>
    <t>Открытая (15.07.1987)/30</t>
  </si>
  <si>
    <t>137,5</t>
  </si>
  <si>
    <t>Чернов Виталий</t>
  </si>
  <si>
    <t>Открытая (20.04.1989)/28</t>
  </si>
  <si>
    <t>Саримсаков Уткиржон</t>
  </si>
  <si>
    <t>Открытая (18.06.1991)/26</t>
  </si>
  <si>
    <t>Поляков Владислав</t>
  </si>
  <si>
    <t>Открытая (16.05.1979)/38</t>
  </si>
  <si>
    <t>Симонов Олег</t>
  </si>
  <si>
    <t>Открытая (17.10.1979)/38</t>
  </si>
  <si>
    <t>Шмыров Максим</t>
  </si>
  <si>
    <t>Открытая (07.11.1988)/29</t>
  </si>
  <si>
    <t>Овинов Сергей</t>
  </si>
  <si>
    <t>Мастера 40 - 44 (17.09.1976)/41</t>
  </si>
  <si>
    <t>Кузнецов Владимир</t>
  </si>
  <si>
    <t>Открытая (23.05.1987)/30</t>
  </si>
  <si>
    <t>109,0890</t>
  </si>
  <si>
    <t>107,5040</t>
  </si>
  <si>
    <t>107,1675</t>
  </si>
  <si>
    <t>Панова Екатерина</t>
  </si>
  <si>
    <t>Девушки 15-19 (17.02.1998)/19</t>
  </si>
  <si>
    <t xml:space="preserve">Кузьмин В. </t>
  </si>
  <si>
    <t>Абрамов Лев</t>
  </si>
  <si>
    <t>Открытая (26.07.1991)/26</t>
  </si>
  <si>
    <t>Кисляков Денис</t>
  </si>
  <si>
    <t>Юноши 15-19 (22.01.1999)/18</t>
  </si>
  <si>
    <t>Мельников Владимир</t>
  </si>
  <si>
    <t>Открытая (03.10.1985)/32</t>
  </si>
  <si>
    <t>227,5</t>
  </si>
  <si>
    <t>Софин Николай</t>
  </si>
  <si>
    <t>Открытая (02.07.1991)/26</t>
  </si>
  <si>
    <t>Конопацкий Владимир</t>
  </si>
  <si>
    <t>Открытая (06.08.1973)/44</t>
  </si>
  <si>
    <t>267,5</t>
  </si>
  <si>
    <t>ВЕСОВАЯ КАТЕГОРИЯ   140</t>
  </si>
  <si>
    <t>Демьянчук Юрий</t>
  </si>
  <si>
    <t>Открытая (03.10.1978)/39</t>
  </si>
  <si>
    <t xml:space="preserve">Сызрань/Самарская область </t>
  </si>
  <si>
    <t>280,0</t>
  </si>
  <si>
    <t>300,0</t>
  </si>
  <si>
    <t>Хамидуллина Алина</t>
  </si>
  <si>
    <t>Девушки 15-19 (10.12.2001)/16</t>
  </si>
  <si>
    <t>Султангалиева Ляйсан</t>
  </si>
  <si>
    <t>Открытая (10.01.1986)/31</t>
  </si>
  <si>
    <t xml:space="preserve">Русская Сталь </t>
  </si>
  <si>
    <t>87,5</t>
  </si>
  <si>
    <t>Коновалов Евгений</t>
  </si>
  <si>
    <t>Юноши 15-19 (08.04.1999)/18</t>
  </si>
  <si>
    <t>Уруспаев Евгений</t>
  </si>
  <si>
    <t>Открытая (01.10.1989)/28</t>
  </si>
  <si>
    <t>Коноплянников Даниил</t>
  </si>
  <si>
    <t>Юноши 15-19 (27.10.1999)/18</t>
  </si>
  <si>
    <t>Петров Алексей</t>
  </si>
  <si>
    <t>Открытая (02.01.1989)/28</t>
  </si>
  <si>
    <t>182,5</t>
  </si>
  <si>
    <t>Денисов Александр</t>
  </si>
  <si>
    <t>Открытая (01.07.1987)/30</t>
  </si>
  <si>
    <t>Карпунин Сергей</t>
  </si>
  <si>
    <t>Открытая (18.10.1987)/30</t>
  </si>
  <si>
    <t>202,5</t>
  </si>
  <si>
    <t>Ляпустин Сергей</t>
  </si>
  <si>
    <t>Мастера 40 - 44 (11.07.1976)/41</t>
  </si>
  <si>
    <t>Бобровский Кирилл</t>
  </si>
  <si>
    <t>Открытая (16.02.1981)/36</t>
  </si>
  <si>
    <t>Место</t>
  </si>
  <si>
    <t>1</t>
  </si>
  <si>
    <t>Возрастная группа
Дата рождения/Возраст</t>
  </si>
  <si>
    <t>Собственный  вес</t>
  </si>
  <si>
    <t>Город/область</t>
  </si>
  <si>
    <t>Результат</t>
  </si>
  <si>
    <t>Калинин Д.</t>
  </si>
  <si>
    <t>Хитрин Д.</t>
  </si>
  <si>
    <t xml:space="preserve">Трухтанов П. </t>
  </si>
  <si>
    <t>Бобровский К.</t>
  </si>
  <si>
    <t>Аракелян А.</t>
  </si>
  <si>
    <t>Обухов С.</t>
  </si>
  <si>
    <t>Самостоятельно</t>
  </si>
  <si>
    <t>Самостоятльно</t>
  </si>
  <si>
    <t>Ляпустин С.</t>
  </si>
  <si>
    <t>46,5</t>
  </si>
  <si>
    <t>53,8</t>
  </si>
  <si>
    <t>55,1</t>
  </si>
  <si>
    <t>58,5</t>
  </si>
  <si>
    <t>54,1</t>
  </si>
  <si>
    <t>73,1</t>
  </si>
  <si>
    <t>77,6</t>
  </si>
  <si>
    <t>86,9</t>
  </si>
  <si>
    <t>97,7</t>
  </si>
  <si>
    <t>99,4</t>
  </si>
  <si>
    <t>106,9</t>
  </si>
  <si>
    <t>136,9</t>
  </si>
  <si>
    <t>с.Новое Аделяково/Самарская область</t>
  </si>
  <si>
    <t>2</t>
  </si>
  <si>
    <t>66,2</t>
  </si>
  <si>
    <t>75,9</t>
  </si>
  <si>
    <t>80,8</t>
  </si>
  <si>
    <t>79,1</t>
  </si>
  <si>
    <t>107,3</t>
  </si>
  <si>
    <t>127,9</t>
  </si>
  <si>
    <t>Балашов В.</t>
  </si>
  <si>
    <t>54,0</t>
  </si>
  <si>
    <t>57,4</t>
  </si>
  <si>
    <t>52,6</t>
  </si>
  <si>
    <t>53,3</t>
  </si>
  <si>
    <t>74,5</t>
  </si>
  <si>
    <t>74,6</t>
  </si>
  <si>
    <t>71,8</t>
  </si>
  <si>
    <t>74,9</t>
  </si>
  <si>
    <t>82,1</t>
  </si>
  <si>
    <t>82,5</t>
  </si>
  <si>
    <t>78,5</t>
  </si>
  <si>
    <t>77,0</t>
  </si>
  <si>
    <t>81,1</t>
  </si>
  <si>
    <t>89,1</t>
  </si>
  <si>
    <t>87,1</t>
  </si>
  <si>
    <t>87,8</t>
  </si>
  <si>
    <t>94,8</t>
  </si>
  <si>
    <t>108,3</t>
  </si>
  <si>
    <t xml:space="preserve">Новокуйбышевск/Самарская область </t>
  </si>
  <si>
    <t>Кулагин А.</t>
  </si>
  <si>
    <t>Одикадзе Г.</t>
  </si>
  <si>
    <t>Гусев.А.</t>
  </si>
  <si>
    <t>Ганин А.</t>
  </si>
  <si>
    <t>46,2</t>
  </si>
  <si>
    <t>50,9</t>
  </si>
  <si>
    <t>69,1</t>
  </si>
  <si>
    <t>73,5</t>
  </si>
  <si>
    <t>80,1</t>
  </si>
  <si>
    <t>80,3</t>
  </si>
  <si>
    <t>79,5</t>
  </si>
  <si>
    <t>77,8</t>
  </si>
  <si>
    <t>88,5</t>
  </si>
  <si>
    <t>89,0</t>
  </si>
  <si>
    <t>86,7</t>
  </si>
  <si>
    <t>88,2</t>
  </si>
  <si>
    <t>89,9</t>
  </si>
  <si>
    <t>91,4</t>
  </si>
  <si>
    <t>92,9</t>
  </si>
  <si>
    <t>91,3</t>
  </si>
  <si>
    <t>99,6</t>
  </si>
  <si>
    <t>91,7</t>
  </si>
  <si>
    <t>98,2</t>
  </si>
  <si>
    <t>103,1</t>
  </si>
  <si>
    <t>101,5</t>
  </si>
  <si>
    <t>106,7</t>
  </si>
  <si>
    <t>106,6</t>
  </si>
  <si>
    <t>107,4</t>
  </si>
  <si>
    <t>с.Новошешминск/Республика Татарстан</t>
  </si>
  <si>
    <t>с.Ореховка/Самарская область</t>
  </si>
  <si>
    <t xml:space="preserve">Арусланов Ш. </t>
  </si>
  <si>
    <t>Арусланов Ш.</t>
  </si>
  <si>
    <t>Аверьянов В.</t>
  </si>
  <si>
    <t>Конопатский В.</t>
  </si>
  <si>
    <t>Филатов Е.</t>
  </si>
  <si>
    <t>Трухтанов П.</t>
  </si>
  <si>
    <t>81,8</t>
  </si>
  <si>
    <t>75,3</t>
  </si>
  <si>
    <t>97,9</t>
  </si>
  <si>
    <t>48,0</t>
  </si>
  <si>
    <t>54,5</t>
  </si>
  <si>
    <t>64,5</t>
  </si>
  <si>
    <t>71,5</t>
  </si>
  <si>
    <t>85,4</t>
  </si>
  <si>
    <t xml:space="preserve">Загайнов М. </t>
  </si>
  <si>
    <t>72,1</t>
  </si>
  <si>
    <t>88,7</t>
  </si>
  <si>
    <t>93,4</t>
  </si>
  <si>
    <t>108,9</t>
  </si>
  <si>
    <t xml:space="preserve">Аверьянов В. </t>
  </si>
  <si>
    <t>73,8</t>
  </si>
  <si>
    <t>88,9</t>
  </si>
  <si>
    <t>Гусейнов И.</t>
  </si>
  <si>
    <t xml:space="preserve">Алтунин Н. </t>
  </si>
  <si>
    <t>55,4</t>
  </si>
  <si>
    <t>56,0</t>
  </si>
  <si>
    <t>74,1</t>
  </si>
  <si>
    <t>89,7</t>
  </si>
  <si>
    <t>106,5</t>
  </si>
  <si>
    <t>292.5</t>
  </si>
  <si>
    <t>265.0</t>
  </si>
  <si>
    <t>535.0</t>
  </si>
  <si>
    <t>660.0</t>
  </si>
  <si>
    <t>655.0</t>
  </si>
  <si>
    <t>625.0</t>
  </si>
  <si>
    <t xml:space="preserve">Аракелян А. </t>
  </si>
  <si>
    <t>3</t>
  </si>
  <si>
    <t>Gloss</t>
  </si>
  <si>
    <t>287,5</t>
  </si>
  <si>
    <t>290,0</t>
  </si>
  <si>
    <t>Калинина Татьяна</t>
  </si>
  <si>
    <t>Открытая (09.06.1989)/28</t>
  </si>
  <si>
    <t>Шереметьева Людмила</t>
  </si>
  <si>
    <t>Открытая (24.04.1984)/33</t>
  </si>
  <si>
    <t xml:space="preserve">Горжа Л. </t>
  </si>
  <si>
    <t>Андреев Александр</t>
  </si>
  <si>
    <t>Открытая (05.06.1992)/25</t>
  </si>
  <si>
    <t>73,7</t>
  </si>
  <si>
    <t>Хаванских Андрей</t>
  </si>
  <si>
    <t>Открытая (15.12.1991)/26</t>
  </si>
  <si>
    <t>76,8</t>
  </si>
  <si>
    <t xml:space="preserve">Вуколова Т. </t>
  </si>
  <si>
    <t>Лаврентьев Евгений</t>
  </si>
  <si>
    <t>Открытая (09.07.1990)/27</t>
  </si>
  <si>
    <t>98,4</t>
  </si>
  <si>
    <t>270,0</t>
  </si>
  <si>
    <t>Асафьев Михал</t>
  </si>
  <si>
    <t>Открытая (03.11.1990)/27</t>
  </si>
  <si>
    <t>102,0</t>
  </si>
  <si>
    <t>Головинский Д.</t>
  </si>
  <si>
    <t>205.0</t>
  </si>
  <si>
    <t>280.0</t>
  </si>
  <si>
    <t>230.0</t>
  </si>
  <si>
    <t xml:space="preserve">Филатов Е. </t>
  </si>
  <si>
    <t>277,5</t>
  </si>
  <si>
    <t>277.5</t>
  </si>
  <si>
    <t>Жим мн. повт.</t>
  </si>
  <si>
    <t>Тоннаж</t>
  </si>
  <si>
    <t>Вес</t>
  </si>
  <si>
    <t>Повторы</t>
  </si>
  <si>
    <t>25,0</t>
  </si>
  <si>
    <t>30,0</t>
  </si>
  <si>
    <t>750,0</t>
  </si>
  <si>
    <t>Чичкин Сергей</t>
  </si>
  <si>
    <t>Открытая (15.07.1992)/25</t>
  </si>
  <si>
    <t>68,9</t>
  </si>
  <si>
    <t>34,0</t>
  </si>
  <si>
    <t>2380,0</t>
  </si>
  <si>
    <t>Кузьмин Владимир</t>
  </si>
  <si>
    <t>Открытая (10.07.1992)/25</t>
  </si>
  <si>
    <t>74,2</t>
  </si>
  <si>
    <t>27,0</t>
  </si>
  <si>
    <t>2025,0</t>
  </si>
  <si>
    <t>77,5</t>
  </si>
  <si>
    <t>2635,0</t>
  </si>
  <si>
    <t>Журавлев Алексей</t>
  </si>
  <si>
    <t>Открытая (21.04.1991)/26</t>
  </si>
  <si>
    <t>79,6</t>
  </si>
  <si>
    <t>28,0</t>
  </si>
  <si>
    <t>2240,0</t>
  </si>
  <si>
    <t>26,0</t>
  </si>
  <si>
    <t>2275,0</t>
  </si>
  <si>
    <t xml:space="preserve">Кулагин А. </t>
  </si>
  <si>
    <t>Мокшина Ирина</t>
  </si>
  <si>
    <t>Открытая (13.10.1981)/36</t>
  </si>
  <si>
    <t>51,4</t>
  </si>
  <si>
    <t>27,5</t>
  </si>
  <si>
    <t>36,0</t>
  </si>
  <si>
    <t>990,0</t>
  </si>
  <si>
    <t>Гусев А.</t>
  </si>
  <si>
    <t>Головко Ольга</t>
  </si>
  <si>
    <t>Открытая (28.07.1988)/29</t>
  </si>
  <si>
    <t>54,4</t>
  </si>
  <si>
    <t>33,0</t>
  </si>
  <si>
    <t xml:space="preserve">Гордеев Б. </t>
  </si>
  <si>
    <t>Панин Алексей</t>
  </si>
  <si>
    <t>Юниоры 20 - 23 (14.06.1994)/23</t>
  </si>
  <si>
    <t>59,2</t>
  </si>
  <si>
    <t>31,0</t>
  </si>
  <si>
    <t>1860.00</t>
  </si>
  <si>
    <t>Зубова Т.</t>
  </si>
  <si>
    <t>Тресцов Виктор</t>
  </si>
  <si>
    <t>Юниоры 20 - 23 (03.12.1995)/22</t>
  </si>
  <si>
    <t>29,0</t>
  </si>
  <si>
    <t>2247.50</t>
  </si>
  <si>
    <t>2635.00</t>
  </si>
  <si>
    <t>32,0</t>
  </si>
  <si>
    <t>2640.00</t>
  </si>
  <si>
    <t>2480.00</t>
  </si>
  <si>
    <t>Рыжов Дмитрий</t>
  </si>
  <si>
    <t>83,7</t>
  </si>
  <si>
    <t>42,0</t>
  </si>
  <si>
    <t>3570.00</t>
  </si>
  <si>
    <t>2520.00</t>
  </si>
  <si>
    <t>92,5</t>
  </si>
  <si>
    <t>2590.00</t>
  </si>
  <si>
    <t>3280.00</t>
  </si>
  <si>
    <t xml:space="preserve">Gloss </t>
  </si>
  <si>
    <t>3570,0</t>
  </si>
  <si>
    <t>2280,1590</t>
  </si>
  <si>
    <t>3280,0</t>
  </si>
  <si>
    <t>1895,1839</t>
  </si>
  <si>
    <t>1779,9424</t>
  </si>
  <si>
    <t>ВЕСОВАЯ КАТЕГОРИЯ   80</t>
  </si>
  <si>
    <t>Козлов Валентин</t>
  </si>
  <si>
    <t>Мастера 60+ (08.08.1943)/74</t>
  </si>
  <si>
    <t>78,0</t>
  </si>
  <si>
    <t>61,0</t>
  </si>
  <si>
    <t>2440,0</t>
  </si>
  <si>
    <t>Жим макс кг.</t>
  </si>
  <si>
    <t>184,0</t>
  </si>
  <si>
    <t xml:space="preserve">Бакулин М. </t>
  </si>
  <si>
    <t>12,0</t>
  </si>
  <si>
    <t>142,0</t>
  </si>
  <si>
    <t>193,0</t>
  </si>
  <si>
    <t>Нигматуллин Руслан</t>
  </si>
  <si>
    <t>Открытая (12.10.1980)/37</t>
  </si>
  <si>
    <t>92,3</t>
  </si>
  <si>
    <t>186,0</t>
  </si>
  <si>
    <t>ВЕСОВАЯ КАТЕГОРИЯ   120</t>
  </si>
  <si>
    <t>Цыганков Станислав</t>
  </si>
  <si>
    <t>111,8</t>
  </si>
  <si>
    <t xml:space="preserve">Графит </t>
  </si>
  <si>
    <t>16,0</t>
  </si>
  <si>
    <t>176,0</t>
  </si>
  <si>
    <t>ВЕСОВАЯ КАТЕГОРИЯ 100</t>
  </si>
  <si>
    <t>Садкин Николай</t>
  </si>
  <si>
    <t>Открытая (01.11.1981)/36</t>
  </si>
  <si>
    <t>242,0</t>
  </si>
  <si>
    <t>Открытый чемпионат Самарской области по пауэрлифтингу,его отдельным движениям и народному жиму
Становая тяга без экипировки ДК
Самара, 23  декабря 2017 г.</t>
  </si>
  <si>
    <t>Открытый чемпионат Самарской области по пауэрлифтингу,его отдельным движениям и народному жиму
Становая тяга в экипировке ДК
Самара,23 декабря 2017 г.</t>
  </si>
  <si>
    <t>Открытый чемпионат Самарской области по пауэрлифтингу,его отдельным движениям и народному жиму
Становая тяга без экипировки
Самара,23 декабря 2017 г.</t>
  </si>
  <si>
    <t>Открытый чемпионат Самарской области по пауэрлифтингу,его отдельным движениям и народному жиму
Присед без экипировки ДК
Самара,23 декабря 2017 г.</t>
  </si>
  <si>
    <t>-</t>
  </si>
  <si>
    <t>Открытый чемпионат Самарской области по пауэрлифтингу,его отдельным движениям и народному жиму
Жим лежа в однослойной экипировке ДК
Самара,23 декабря 2017 г.</t>
  </si>
  <si>
    <t>Открытый чемпионат Самарской области по пауэрлифтингу,его отдельным движениям и народному жиму
Жим лежа без экипировки
Самара,23 декабря 2017 г.</t>
  </si>
  <si>
    <t>Открытый чемпионат Самарской области по пауэрлифтингу,его отдельным движениям и народному жиму
Жим лежа без экипировки ДК
Самара,23 декабря 2017 г.</t>
  </si>
  <si>
    <t>Открытый чемпионат Самарской области по пауэрлифтингу,его отдельным движениям и народному жиму
Пауэрлифтинг без экипировки
Самара,23 декабря 2017 г.</t>
  </si>
  <si>
    <t>Открытый чемпионат Самарской области по пауэрлифтингу,его отдельным движениям и народному жиму
Пауэрлифтинг без экипировки ДК
Самара,23 декабря 2017 г.</t>
  </si>
  <si>
    <t>Открытый чемпионат Самарской области по пауэрлифтингу,его отдельным движениям и народному жиму
Жим лежа в однослойной экипировке
Самара,23 декабря 2017 г.</t>
  </si>
  <si>
    <t>Открытый чемпионат Самарской области по пауэрлифтингу,его отдельным движениям и народному жиму
Пауэрлифтинг в бинтах
Самара, 23 декабря 2017 г.</t>
  </si>
  <si>
    <t>Открытый чемпионат Самарской области по пауэрлифтингу,его отдельным движениям и народному жиму
СПР Жим лежа в софт экипировке "Ультра"
Самара, 23 декабря 2017 г.</t>
  </si>
  <si>
    <t>Открытый чемпионат Самарской области по пауэрлифтингу,его отдельным движениям и народному жиму
СПР Жим лежа в софт экипировке "Стандарт" д.к.
Самара, 23 декабря 2017 г.</t>
  </si>
  <si>
    <t>п. Алексеевка/Самарская область</t>
  </si>
  <si>
    <t>Открытый чемпионат Самарской области по пауэрлифтингу,его отдельным движениям и народному жиму
Пауэрлифтинг в однослойной экипировке ДК
Самара, 23 декабря 2017 г.</t>
  </si>
  <si>
    <t>Открытый чемпионат Самарской области по пауэрлифтингу,его отдельным движениям и народному жиму
Пауэрлифтинг в бинтах ДК
Самара, 23 декабря 2017 г.</t>
  </si>
  <si>
    <t>Открытый чемпионат Самарской области по пауэрлифтингу,его отдельным движениям и народному жиму
СПР Жим лежа в софт экипировке "Стандарт"
Самара, 23 декабря 2017 г.</t>
  </si>
  <si>
    <t>Новокуйбышевск/Самарская область</t>
  </si>
  <si>
    <t>Открытый чемпионат Самарской области по армлифтингу
Apollon`s Axle
Самара,23 декабря 2017 г.</t>
  </si>
  <si>
    <t>Открытый чемпионат Самарской области по пауэрлифтингу,
СПР Народный жим (1/2 вес) допинг контроль
Самара, 23 декабря 2017 г.</t>
  </si>
  <si>
    <t>Открытый чемпионат Самарской области по пауэрлифтингу,
СПР Народный жим (1 вес) допинг контроль
Самара, 23 декабря 2017 г.</t>
  </si>
  <si>
    <t>Открытый чемпионат Самарской области по пауэрлифтингу,
СПР Народный жим (1/2 вес)
Самара, 23 декабря 2017 г.</t>
  </si>
  <si>
    <t>Открытый чемпионат Самарской области по пауэрлифтингу,
СПР Народный жим (1 вес)
Самара, 23 декабря 2017 г.</t>
  </si>
  <si>
    <t>Открытый чемпионат Самарской области по жимовому двоеборью
ФЖД военный жим многоповторный
Самара, 23 декабря 2017 г.</t>
  </si>
  <si>
    <t>Открытый чемпионат Самарской области по жимовому двоеборью
ФЖД военный жим на максимум
Самара, 23 декабря 2017 г.</t>
  </si>
  <si>
    <t>Открытый чемпионат Самарской области по жимовому двоеборью
ФЖД любители с ДК двоеборье
Самара, 23 декабря 2017 г.</t>
  </si>
  <si>
    <t>Открытый чемпионат Самарской области по жимовому двоеборью
ФЖД любители двоеборье
Самара, 23 декабря 2017 г.</t>
  </si>
  <si>
    <t>Алексеевка/Белгородская область</t>
  </si>
  <si>
    <t xml:space="preserve">Октябрьский/Республика Башкортостан </t>
  </si>
  <si>
    <t>Открытый чемпионат Самарской области по жимовому двоеборью
ФЖД жим в однослойной софт экипировке двоеборье
Самара, 23 декабря 2017 г.</t>
  </si>
  <si>
    <t xml:space="preserve">Бирск/Республика Башкортостан </t>
  </si>
  <si>
    <t>село Кинель-Черкассы/Самарская область</t>
  </si>
  <si>
    <t xml:space="preserve">Наименование </t>
  </si>
  <si>
    <t>Капитан команды</t>
  </si>
  <si>
    <t>Количество очков</t>
  </si>
  <si>
    <t>Графит</t>
  </si>
  <si>
    <t>Гаржа Леонид</t>
  </si>
  <si>
    <t>Самара/Самарская область</t>
  </si>
  <si>
    <t>На пульсе жизни</t>
  </si>
  <si>
    <t>Локомотив</t>
  </si>
  <si>
    <t>Калинин Денис</t>
  </si>
  <si>
    <t>Бузулук/Оренбургская область</t>
  </si>
  <si>
    <t>Судейская бригада Открытого Чемпионата Самарской области</t>
  </si>
  <si>
    <t>Главный судья:</t>
  </si>
  <si>
    <t>Кузнецов Р.</t>
  </si>
  <si>
    <t>Главный секретарь:</t>
  </si>
  <si>
    <t>Аверьянова Т.</t>
  </si>
  <si>
    <t>Старший судья:</t>
  </si>
  <si>
    <t>Боковой судья:</t>
  </si>
  <si>
    <t>Асафьев М., Атаев В.</t>
  </si>
  <si>
    <t>Яковлев М.</t>
  </si>
  <si>
    <t>Секретарь: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</si>
</sst>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z val="11"/>
      <name val="Arial Cyr"/>
      <family val="2"/>
      <charset val="204"/>
    </font>
    <font>
      <b/>
      <strike/>
      <sz val="10"/>
      <color rgb="FFFF0000"/>
      <name val="Arial Cyr"/>
      <charset val="204"/>
    </font>
    <font>
      <b/>
      <strike/>
      <sz val="10"/>
      <name val="Arial Cyr"/>
      <charset val="204"/>
    </font>
    <font>
      <sz val="11"/>
      <name val="Arial Cyr"/>
      <charset val="204"/>
    </font>
    <font>
      <strike/>
      <sz val="10"/>
      <color rgb="FFFF0000"/>
      <name val="Arial Cyr"/>
      <charset val="204"/>
    </font>
    <font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 style="thin">
        <color auto="1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9">
    <xf numFmtId="0" fontId="0" fillId="0" borderId="0" xfId="0"/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49" fontId="0" fillId="0" borderId="15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49" fontId="0" fillId="0" borderId="2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left"/>
    </xf>
    <xf numFmtId="49" fontId="2" fillId="0" borderId="22" xfId="0" applyNumberFormat="1" applyFont="1" applyFill="1" applyBorder="1" applyAlignment="1">
      <alignment horizontal="left"/>
    </xf>
    <xf numFmtId="49" fontId="0" fillId="0" borderId="22" xfId="0" applyNumberFormat="1" applyFill="1" applyBorder="1" applyAlignment="1">
      <alignment horizontal="center"/>
    </xf>
    <xf numFmtId="49" fontId="0" fillId="0" borderId="22" xfId="0" applyNumberFormat="1" applyFill="1" applyBorder="1" applyAlignment="1">
      <alignment horizontal="left"/>
    </xf>
    <xf numFmtId="49" fontId="2" fillId="0" borderId="24" xfId="0" applyNumberFormat="1" applyFont="1" applyFill="1" applyBorder="1" applyAlignment="1">
      <alignment horizontal="left"/>
    </xf>
    <xf numFmtId="49" fontId="0" fillId="0" borderId="24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left"/>
    </xf>
    <xf numFmtId="49" fontId="8" fillId="0" borderId="0" xfId="0" applyNumberFormat="1" applyFont="1"/>
    <xf numFmtId="0" fontId="0" fillId="0" borderId="0" xfId="0" applyBorder="1"/>
    <xf numFmtId="0" fontId="0" fillId="0" borderId="12" xfId="0" applyBorder="1"/>
    <xf numFmtId="0" fontId="0" fillId="0" borderId="18" xfId="0" applyBorder="1"/>
    <xf numFmtId="0" fontId="0" fillId="0" borderId="14" xfId="0" applyBorder="1"/>
    <xf numFmtId="49" fontId="0" fillId="0" borderId="21" xfId="0" applyNumberFormat="1" applyBorder="1"/>
    <xf numFmtId="49" fontId="0" fillId="0" borderId="22" xfId="0" applyNumberFormat="1" applyBorder="1"/>
    <xf numFmtId="49" fontId="0" fillId="0" borderId="15" xfId="0" applyNumberFormat="1" applyBorder="1"/>
    <xf numFmtId="49" fontId="7" fillId="0" borderId="15" xfId="0" applyNumberFormat="1" applyFont="1" applyBorder="1"/>
    <xf numFmtId="49" fontId="6" fillId="0" borderId="0" xfId="0" applyNumberFormat="1" applyFont="1"/>
    <xf numFmtId="49" fontId="0" fillId="0" borderId="0" xfId="0" applyNumberFormat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49" fontId="9" fillId="0" borderId="0" xfId="0" applyNumberFormat="1" applyFont="1"/>
    <xf numFmtId="49" fontId="0" fillId="0" borderId="0" xfId="0" applyNumberFormat="1" applyBorder="1"/>
    <xf numFmtId="49" fontId="0" fillId="0" borderId="16" xfId="0" applyNumberFormat="1" applyBorder="1"/>
    <xf numFmtId="49" fontId="3" fillId="0" borderId="15" xfId="0" applyNumberFormat="1" applyFont="1" applyBorder="1" applyAlignment="1">
      <alignment horizontal="center" vertical="center"/>
    </xf>
    <xf numFmtId="49" fontId="2" fillId="0" borderId="0" xfId="0" applyNumberFormat="1" applyFont="1"/>
    <xf numFmtId="49" fontId="0" fillId="0" borderId="24" xfId="0" applyNumberFormat="1" applyBorder="1"/>
    <xf numFmtId="49" fontId="2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8" fillId="0" borderId="0" xfId="0" applyNumberFormat="1" applyFont="1" applyBorder="1"/>
    <xf numFmtId="49" fontId="6" fillId="0" borderId="0" xfId="0" applyNumberFormat="1" applyFont="1" applyBorder="1"/>
    <xf numFmtId="49" fontId="9" fillId="0" borderId="0" xfId="0" applyNumberFormat="1" applyFont="1" applyBorder="1" applyAlignment="1">
      <alignment horizontal="left" indent="1"/>
    </xf>
    <xf numFmtId="49" fontId="9" fillId="0" borderId="0" xfId="0" applyNumberFormat="1" applyFont="1" applyBorder="1"/>
    <xf numFmtId="49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 indent="1"/>
    </xf>
    <xf numFmtId="49" fontId="2" fillId="0" borderId="0" xfId="0" applyNumberFormat="1" applyFont="1" applyBorder="1"/>
    <xf numFmtId="49" fontId="0" fillId="0" borderId="19" xfId="0" applyNumberFormat="1" applyBorder="1"/>
    <xf numFmtId="49" fontId="0" fillId="0" borderId="20" xfId="0" applyNumberFormat="1" applyBorder="1"/>
    <xf numFmtId="49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left"/>
    </xf>
    <xf numFmtId="49" fontId="0" fillId="0" borderId="2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49" fontId="0" fillId="0" borderId="20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9" fontId="2" fillId="2" borderId="15" xfId="0" applyNumberFormat="1" applyFont="1" applyFill="1" applyBorder="1"/>
    <xf numFmtId="49" fontId="11" fillId="0" borderId="15" xfId="0" applyNumberFormat="1" applyFont="1" applyBorder="1"/>
    <xf numFmtId="49" fontId="12" fillId="0" borderId="15" xfId="0" applyNumberFormat="1" applyFont="1" applyBorder="1"/>
    <xf numFmtId="49" fontId="2" fillId="0" borderId="15" xfId="0" applyNumberFormat="1" applyFont="1" applyBorder="1"/>
    <xf numFmtId="49" fontId="2" fillId="2" borderId="21" xfId="0" applyNumberFormat="1" applyFont="1" applyFill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2" borderId="22" xfId="0" applyNumberFormat="1" applyFont="1" applyFill="1" applyBorder="1" applyAlignment="1">
      <alignment horizontal="left"/>
    </xf>
    <xf numFmtId="49" fontId="12" fillId="0" borderId="22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2" borderId="21" xfId="0" applyNumberFormat="1" applyFont="1" applyFill="1" applyBorder="1"/>
    <xf numFmtId="49" fontId="12" fillId="0" borderId="21" xfId="0" applyNumberFormat="1" applyFont="1" applyBorder="1"/>
    <xf numFmtId="49" fontId="2" fillId="0" borderId="21" xfId="0" applyNumberFormat="1" applyFont="1" applyBorder="1"/>
    <xf numFmtId="49" fontId="2" fillId="2" borderId="22" xfId="0" applyNumberFormat="1" applyFont="1" applyFill="1" applyBorder="1"/>
    <xf numFmtId="49" fontId="12" fillId="0" borderId="22" xfId="0" applyNumberFormat="1" applyFont="1" applyBorder="1"/>
    <xf numFmtId="49" fontId="2" fillId="0" borderId="22" xfId="0" applyNumberFormat="1" applyFont="1" applyBorder="1"/>
    <xf numFmtId="0" fontId="2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24" xfId="0" applyNumberFormat="1" applyFont="1" applyBorder="1"/>
    <xf numFmtId="49" fontId="2" fillId="0" borderId="21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11" fillId="0" borderId="21" xfId="0" applyNumberFormat="1" applyFont="1" applyBorder="1"/>
    <xf numFmtId="49" fontId="2" fillId="2" borderId="24" xfId="0" applyNumberFormat="1" applyFont="1" applyFill="1" applyBorder="1"/>
    <xf numFmtId="49" fontId="0" fillId="0" borderId="23" xfId="0" applyNumberFormat="1" applyBorder="1"/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2" fillId="2" borderId="21" xfId="0" applyNumberFormat="1" applyFont="1" applyFill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2" fillId="2" borderId="2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12" fillId="0" borderId="24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49" fontId="0" fillId="0" borderId="15" xfId="0" applyNumberFormat="1" applyBorder="1" applyAlignment="1">
      <alignment horizontal="left" indent="1"/>
    </xf>
    <xf numFmtId="49" fontId="13" fillId="0" borderId="1" xfId="0" applyNumberFormat="1" applyFont="1" applyFill="1" applyBorder="1" applyAlignment="1">
      <alignment horizontal="center" vertical="center"/>
    </xf>
    <xf numFmtId="49" fontId="14" fillId="0" borderId="15" xfId="0" applyNumberFormat="1" applyFont="1" applyBorder="1"/>
    <xf numFmtId="49" fontId="0" fillId="2" borderId="15" xfId="0" applyNumberFormat="1" applyFill="1" applyBorder="1"/>
    <xf numFmtId="49" fontId="0" fillId="2" borderId="21" xfId="0" applyNumberFormat="1" applyFill="1" applyBorder="1"/>
    <xf numFmtId="49" fontId="14" fillId="0" borderId="21" xfId="0" applyNumberFormat="1" applyFont="1" applyBorder="1"/>
    <xf numFmtId="49" fontId="7" fillId="0" borderId="21" xfId="0" applyNumberFormat="1" applyFont="1" applyBorder="1"/>
    <xf numFmtId="49" fontId="0" fillId="2" borderId="22" xfId="0" applyNumberFormat="1" applyFill="1" applyBorder="1"/>
    <xf numFmtId="49" fontId="14" fillId="0" borderId="22" xfId="0" applyNumberFormat="1" applyFont="1" applyBorder="1"/>
    <xf numFmtId="49" fontId="7" fillId="0" borderId="22" xfId="0" applyNumberFormat="1" applyFont="1" applyBorder="1"/>
    <xf numFmtId="49" fontId="0" fillId="0" borderId="15" xfId="0" applyNumberFormat="1" applyFont="1" applyFill="1" applyBorder="1" applyAlignment="1">
      <alignment horizontal="left"/>
    </xf>
    <xf numFmtId="49" fontId="0" fillId="2" borderId="15" xfId="0" applyNumberForma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indent="1"/>
    </xf>
    <xf numFmtId="49" fontId="13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left"/>
    </xf>
    <xf numFmtId="49" fontId="0" fillId="2" borderId="21" xfId="0" applyNumberForma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left"/>
    </xf>
    <xf numFmtId="49" fontId="0" fillId="2" borderId="24" xfId="0" applyNumberForma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left"/>
    </xf>
    <xf numFmtId="49" fontId="0" fillId="2" borderId="22" xfId="0" applyNumberForma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49" fontId="3" fillId="0" borderId="15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indent="1"/>
    </xf>
    <xf numFmtId="0" fontId="0" fillId="2" borderId="15" xfId="0" applyFill="1" applyBorder="1"/>
    <xf numFmtId="0" fontId="0" fillId="0" borderId="15" xfId="0" applyBorder="1"/>
    <xf numFmtId="49" fontId="3" fillId="0" borderId="0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/>
    <xf numFmtId="0" fontId="2" fillId="0" borderId="31" xfId="0" applyFont="1" applyBorder="1" applyAlignment="1">
      <alignment horizontal="center" vertical="center"/>
    </xf>
    <xf numFmtId="49" fontId="6" fillId="0" borderId="0" xfId="0" applyNumberFormat="1" applyFont="1" applyBorder="1" applyAlignment="1"/>
    <xf numFmtId="0" fontId="0" fillId="0" borderId="0" xfId="0" applyFont="1" applyBorder="1"/>
    <xf numFmtId="49" fontId="13" fillId="0" borderId="34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6" fillId="0" borderId="5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/>
    </xf>
    <xf numFmtId="49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40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 wrapText="1"/>
    </xf>
    <xf numFmtId="49" fontId="10" fillId="0" borderId="4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theme" Target="theme/theme1.xml"/><Relationship Id="rId30" Type="http://schemas.openxmlformats.org/officeDocument/2006/relationships/styles" Target="styles.xml"/><Relationship Id="rId31" Type="http://schemas.openxmlformats.org/officeDocument/2006/relationships/sharedStrings" Target="sharedStrings.xml"/><Relationship Id="rId3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G34" sqref="G34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9" style="22" bestFit="1" customWidth="1"/>
    <col min="4" max="4" width="16" style="22" customWidth="1"/>
    <col min="5" max="5" width="8.42578125" style="22" bestFit="1" customWidth="1"/>
    <col min="6" max="6" width="22.7109375" style="22" bestFit="1" customWidth="1"/>
    <col min="7" max="7" width="26" style="22" bestFit="1" customWidth="1"/>
    <col min="8" max="10" width="5.5703125" style="102" bestFit="1" customWidth="1"/>
    <col min="11" max="11" width="4.5703125" style="102" bestFit="1" customWidth="1"/>
    <col min="12" max="14" width="5.5703125" style="102" bestFit="1" customWidth="1"/>
    <col min="15" max="15" width="4.5703125" style="102" bestFit="1" customWidth="1"/>
    <col min="16" max="18" width="5.5703125" style="102" bestFit="1" customWidth="1"/>
    <col min="19" max="19" width="4.5703125" style="102" bestFit="1" customWidth="1"/>
    <col min="20" max="20" width="7.85546875" style="102" bestFit="1" customWidth="1"/>
    <col min="21" max="21" width="8.5703125" style="102" bestFit="1" customWidth="1"/>
    <col min="22" max="22" width="28.140625" style="22" bestFit="1" customWidth="1"/>
  </cols>
  <sheetData>
    <row r="1" spans="1:22" s="1" customFormat="1" ht="15" customHeight="1">
      <c r="A1" s="183" t="s">
        <v>592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</row>
    <row r="2" spans="1:22" s="1" customFormat="1" ht="89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</row>
    <row r="3" spans="1:22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1</v>
      </c>
      <c r="I3" s="181"/>
      <c r="J3" s="181"/>
      <c r="K3" s="181"/>
      <c r="L3" s="181" t="s">
        <v>2</v>
      </c>
      <c r="M3" s="181"/>
      <c r="N3" s="181"/>
      <c r="O3" s="181"/>
      <c r="P3" s="181" t="s">
        <v>3</v>
      </c>
      <c r="Q3" s="181"/>
      <c r="R3" s="181"/>
      <c r="S3" s="181"/>
      <c r="T3" s="181" t="s">
        <v>4</v>
      </c>
      <c r="U3" s="181" t="s">
        <v>6</v>
      </c>
      <c r="V3" s="193" t="s">
        <v>5</v>
      </c>
    </row>
    <row r="4" spans="1:22" s="2" customFormat="1" ht="21" customHeight="1" thickBot="1">
      <c r="A4" s="192"/>
      <c r="B4" s="189"/>
      <c r="C4" s="190"/>
      <c r="D4" s="190"/>
      <c r="E4" s="182"/>
      <c r="F4" s="182"/>
      <c r="G4" s="182"/>
      <c r="H4" s="100">
        <v>1</v>
      </c>
      <c r="I4" s="100">
        <v>2</v>
      </c>
      <c r="J4" s="100">
        <v>3</v>
      </c>
      <c r="K4" s="100" t="s">
        <v>8</v>
      </c>
      <c r="L4" s="100">
        <v>1</v>
      </c>
      <c r="M4" s="100">
        <v>2</v>
      </c>
      <c r="N4" s="100">
        <v>3</v>
      </c>
      <c r="O4" s="100" t="s">
        <v>8</v>
      </c>
      <c r="P4" s="100">
        <v>1</v>
      </c>
      <c r="Q4" s="100">
        <v>2</v>
      </c>
      <c r="R4" s="100">
        <v>3</v>
      </c>
      <c r="S4" s="100" t="s">
        <v>8</v>
      </c>
      <c r="T4" s="182"/>
      <c r="U4" s="182"/>
      <c r="V4" s="194"/>
    </row>
    <row r="5" spans="1:22" ht="16">
      <c r="B5" s="187" t="s">
        <v>127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1:22">
      <c r="A6" s="97">
        <v>1</v>
      </c>
      <c r="B6" s="29" t="s">
        <v>128</v>
      </c>
      <c r="C6" s="29" t="s">
        <v>129</v>
      </c>
      <c r="D6" s="29" t="s">
        <v>354</v>
      </c>
      <c r="E6" s="29" t="str">
        <f>"1,3553"</f>
        <v>1,3553</v>
      </c>
      <c r="F6" s="29" t="s">
        <v>116</v>
      </c>
      <c r="G6" s="29" t="s">
        <v>24</v>
      </c>
      <c r="H6" s="108" t="s">
        <v>98</v>
      </c>
      <c r="I6" s="108" t="s">
        <v>25</v>
      </c>
      <c r="J6" s="109" t="s">
        <v>130</v>
      </c>
      <c r="K6" s="105"/>
      <c r="L6" s="108" t="s">
        <v>131</v>
      </c>
      <c r="M6" s="109" t="s">
        <v>132</v>
      </c>
      <c r="N6" s="109" t="s">
        <v>132</v>
      </c>
      <c r="O6" s="105"/>
      <c r="P6" s="108" t="s">
        <v>133</v>
      </c>
      <c r="Q6" s="109" t="s">
        <v>19</v>
      </c>
      <c r="R6" s="109" t="s">
        <v>19</v>
      </c>
      <c r="S6" s="105"/>
      <c r="T6" s="90" t="s">
        <v>45</v>
      </c>
      <c r="U6" s="90" t="str">
        <f>"298,1660"</f>
        <v>298,1660</v>
      </c>
      <c r="V6" s="29" t="s">
        <v>426</v>
      </c>
    </row>
    <row r="7" spans="1:22">
      <c r="A7" s="99">
        <v>1</v>
      </c>
      <c r="B7" s="30" t="s">
        <v>135</v>
      </c>
      <c r="C7" s="30" t="s">
        <v>136</v>
      </c>
      <c r="D7" s="30" t="s">
        <v>433</v>
      </c>
      <c r="E7" s="30" t="str">
        <f>"1,3244"</f>
        <v>1,3244</v>
      </c>
      <c r="F7" s="30" t="s">
        <v>116</v>
      </c>
      <c r="G7" s="30" t="s">
        <v>24</v>
      </c>
      <c r="H7" s="110" t="s">
        <v>27</v>
      </c>
      <c r="I7" s="111" t="s">
        <v>28</v>
      </c>
      <c r="J7" s="111" t="s">
        <v>97</v>
      </c>
      <c r="K7" s="106"/>
      <c r="L7" s="111" t="s">
        <v>137</v>
      </c>
      <c r="M7" s="111" t="s">
        <v>138</v>
      </c>
      <c r="N7" s="111" t="s">
        <v>139</v>
      </c>
      <c r="O7" s="106"/>
      <c r="P7" s="111" t="s">
        <v>97</v>
      </c>
      <c r="Q7" s="111" t="s">
        <v>98</v>
      </c>
      <c r="R7" s="111" t="s">
        <v>25</v>
      </c>
      <c r="S7" s="106"/>
      <c r="T7" s="92">
        <v>187.5</v>
      </c>
      <c r="U7" s="92" t="str">
        <f>"248,3250"</f>
        <v>248,3250</v>
      </c>
      <c r="V7" s="30" t="s">
        <v>426</v>
      </c>
    </row>
    <row r="9" spans="1:22" ht="16">
      <c r="B9" s="178" t="s">
        <v>10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2">
      <c r="A10" s="82" t="s">
        <v>587</v>
      </c>
      <c r="B10" s="31" t="s">
        <v>140</v>
      </c>
      <c r="C10" s="31" t="s">
        <v>141</v>
      </c>
      <c r="D10" s="31" t="s">
        <v>434</v>
      </c>
      <c r="E10" s="31" t="str">
        <f>"1,2019"</f>
        <v>1,2019</v>
      </c>
      <c r="F10" s="31" t="s">
        <v>13</v>
      </c>
      <c r="G10" s="31" t="s">
        <v>24</v>
      </c>
      <c r="H10" s="104" t="s">
        <v>98</v>
      </c>
      <c r="I10" s="104" t="s">
        <v>98</v>
      </c>
      <c r="J10" s="104" t="s">
        <v>98</v>
      </c>
      <c r="K10" s="101"/>
      <c r="L10" s="104" t="s">
        <v>139</v>
      </c>
      <c r="M10" s="101"/>
      <c r="N10" s="101"/>
      <c r="O10" s="101"/>
      <c r="P10" s="104" t="s">
        <v>26</v>
      </c>
      <c r="Q10" s="101"/>
      <c r="R10" s="101"/>
      <c r="S10" s="101"/>
      <c r="T10" s="93">
        <v>0</v>
      </c>
      <c r="U10" s="93" t="str">
        <f>"0,0000"</f>
        <v>0,0000</v>
      </c>
      <c r="V10" s="31" t="s">
        <v>134</v>
      </c>
    </row>
    <row r="12" spans="1:22" ht="16">
      <c r="B12" s="178" t="s">
        <v>142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</row>
    <row r="13" spans="1:22">
      <c r="A13" s="82">
        <v>1</v>
      </c>
      <c r="B13" s="31" t="s">
        <v>143</v>
      </c>
      <c r="C13" s="31" t="s">
        <v>144</v>
      </c>
      <c r="D13" s="31" t="s">
        <v>357</v>
      </c>
      <c r="E13" s="31" t="str">
        <f>"1,1371"</f>
        <v>1,1371</v>
      </c>
      <c r="F13" s="31" t="s">
        <v>13</v>
      </c>
      <c r="G13" s="31" t="s">
        <v>24</v>
      </c>
      <c r="H13" s="103" t="s">
        <v>27</v>
      </c>
      <c r="I13" s="103" t="s">
        <v>145</v>
      </c>
      <c r="J13" s="103" t="s">
        <v>146</v>
      </c>
      <c r="K13" s="101"/>
      <c r="L13" s="103" t="s">
        <v>131</v>
      </c>
      <c r="M13" s="104" t="s">
        <v>132</v>
      </c>
      <c r="N13" s="103" t="s">
        <v>132</v>
      </c>
      <c r="O13" s="101"/>
      <c r="P13" s="103" t="s">
        <v>109</v>
      </c>
      <c r="Q13" s="103" t="s">
        <v>96</v>
      </c>
      <c r="R13" s="104" t="s">
        <v>20</v>
      </c>
      <c r="S13" s="101"/>
      <c r="T13" s="93">
        <v>232.5</v>
      </c>
      <c r="U13" s="93" t="str">
        <f>"264,3757"</f>
        <v>264,3757</v>
      </c>
      <c r="V13" s="31" t="s">
        <v>429</v>
      </c>
    </row>
    <row r="15" spans="1:22" ht="16">
      <c r="B15" s="178" t="s">
        <v>93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</row>
    <row r="16" spans="1:22">
      <c r="A16" s="82">
        <v>1</v>
      </c>
      <c r="B16" s="31" t="s">
        <v>147</v>
      </c>
      <c r="C16" s="31" t="s">
        <v>148</v>
      </c>
      <c r="D16" s="31" t="s">
        <v>435</v>
      </c>
      <c r="E16" s="31" t="str">
        <f>"1,0551"</f>
        <v>1,0551</v>
      </c>
      <c r="F16" s="31" t="s">
        <v>13</v>
      </c>
      <c r="G16" s="31" t="s">
        <v>24</v>
      </c>
      <c r="H16" s="103" t="s">
        <v>25</v>
      </c>
      <c r="I16" s="103" t="s">
        <v>130</v>
      </c>
      <c r="J16" s="104" t="s">
        <v>26</v>
      </c>
      <c r="K16" s="101"/>
      <c r="L16" s="103" t="s">
        <v>132</v>
      </c>
      <c r="M16" s="104" t="s">
        <v>18</v>
      </c>
      <c r="N16" s="104" t="s">
        <v>18</v>
      </c>
      <c r="O16" s="101"/>
      <c r="P16" s="103" t="s">
        <v>133</v>
      </c>
      <c r="Q16" s="103" t="s">
        <v>19</v>
      </c>
      <c r="R16" s="104" t="s">
        <v>20</v>
      </c>
      <c r="S16" s="101"/>
      <c r="T16" s="93" t="s">
        <v>51</v>
      </c>
      <c r="U16" s="93" t="str">
        <f>"253,2240"</f>
        <v>253,2240</v>
      </c>
      <c r="V16" s="31" t="s">
        <v>134</v>
      </c>
    </row>
    <row r="18" spans="1:22" ht="16">
      <c r="B18" s="178" t="s">
        <v>29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</row>
    <row r="19" spans="1:22">
      <c r="A19" s="82">
        <v>1</v>
      </c>
      <c r="B19" s="31" t="s">
        <v>149</v>
      </c>
      <c r="C19" s="31" t="s">
        <v>150</v>
      </c>
      <c r="D19" s="31" t="s">
        <v>436</v>
      </c>
      <c r="E19" s="31" t="str">
        <f>"0,7375"</f>
        <v>0,7375</v>
      </c>
      <c r="F19" s="31" t="s">
        <v>116</v>
      </c>
      <c r="G19" s="31" t="s">
        <v>24</v>
      </c>
      <c r="H19" s="103" t="s">
        <v>48</v>
      </c>
      <c r="I19" s="104" t="s">
        <v>49</v>
      </c>
      <c r="J19" s="104" t="s">
        <v>49</v>
      </c>
      <c r="K19" s="101"/>
      <c r="L19" s="103" t="s">
        <v>26</v>
      </c>
      <c r="M19" s="104" t="s">
        <v>151</v>
      </c>
      <c r="N19" s="103" t="s">
        <v>151</v>
      </c>
      <c r="O19" s="101"/>
      <c r="P19" s="104" t="s">
        <v>49</v>
      </c>
      <c r="Q19" s="103" t="s">
        <v>49</v>
      </c>
      <c r="R19" s="104" t="s">
        <v>56</v>
      </c>
      <c r="S19" s="101"/>
      <c r="T19" s="93" t="s">
        <v>158</v>
      </c>
      <c r="U19" s="93" t="str">
        <f>"283,9375"</f>
        <v>283,9375</v>
      </c>
      <c r="V19" s="31" t="s">
        <v>438</v>
      </c>
    </row>
    <row r="21" spans="1:22" ht="16">
      <c r="B21" s="178" t="s">
        <v>41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</row>
    <row r="22" spans="1:22">
      <c r="A22" s="82">
        <v>1</v>
      </c>
      <c r="B22" s="31" t="s">
        <v>152</v>
      </c>
      <c r="C22" s="31" t="s">
        <v>153</v>
      </c>
      <c r="D22" s="31" t="s">
        <v>437</v>
      </c>
      <c r="E22" s="31" t="str">
        <f>"0,6566"</f>
        <v>0,6566</v>
      </c>
      <c r="F22" s="31" t="s">
        <v>13</v>
      </c>
      <c r="G22" s="31" t="s">
        <v>614</v>
      </c>
      <c r="H22" s="103" t="s">
        <v>19</v>
      </c>
      <c r="I22" s="103" t="s">
        <v>20</v>
      </c>
      <c r="J22" s="103" t="s">
        <v>91</v>
      </c>
      <c r="K22" s="101"/>
      <c r="L22" s="103" t="s">
        <v>98</v>
      </c>
      <c r="M22" s="103" t="s">
        <v>25</v>
      </c>
      <c r="N22" s="103" t="s">
        <v>26</v>
      </c>
      <c r="O22" s="101"/>
      <c r="P22" s="103" t="s">
        <v>49</v>
      </c>
      <c r="Q22" s="103" t="s">
        <v>56</v>
      </c>
      <c r="R22" s="103" t="s">
        <v>60</v>
      </c>
      <c r="S22" s="101"/>
      <c r="T22" s="93" t="s">
        <v>160</v>
      </c>
      <c r="U22" s="93" t="str">
        <f>"256,0740"</f>
        <v>256,0740</v>
      </c>
      <c r="V22" s="31" t="s">
        <v>348</v>
      </c>
    </row>
    <row r="24" spans="1:22" ht="16">
      <c r="B24" s="178" t="s">
        <v>62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</row>
    <row r="25" spans="1:22">
      <c r="A25" s="82">
        <v>1</v>
      </c>
      <c r="B25" s="31" t="s">
        <v>154</v>
      </c>
      <c r="C25" s="31" t="s">
        <v>155</v>
      </c>
      <c r="D25" s="31" t="s">
        <v>364</v>
      </c>
      <c r="E25" s="31" t="str">
        <f>"0,5939"</f>
        <v>0,5939</v>
      </c>
      <c r="F25" s="31" t="s">
        <v>90</v>
      </c>
      <c r="G25" s="31" t="s">
        <v>24</v>
      </c>
      <c r="H25" s="103" t="s">
        <v>48</v>
      </c>
      <c r="I25" s="103" t="s">
        <v>49</v>
      </c>
      <c r="J25" s="103" t="s">
        <v>56</v>
      </c>
      <c r="K25" s="101"/>
      <c r="L25" s="103" t="s">
        <v>109</v>
      </c>
      <c r="M25" s="103" t="s">
        <v>96</v>
      </c>
      <c r="N25" s="104" t="s">
        <v>156</v>
      </c>
      <c r="O25" s="101"/>
      <c r="P25" s="103" t="s">
        <v>60</v>
      </c>
      <c r="Q25" s="103" t="s">
        <v>83</v>
      </c>
      <c r="R25" s="104" t="s">
        <v>33</v>
      </c>
      <c r="S25" s="101"/>
      <c r="T25" s="93" t="s">
        <v>159</v>
      </c>
      <c r="U25" s="93" t="str">
        <f>"276,1635"</f>
        <v>276,1635</v>
      </c>
      <c r="V25" s="31" t="s">
        <v>134</v>
      </c>
    </row>
    <row r="27" spans="1:22" ht="16">
      <c r="F27" s="23"/>
    </row>
    <row r="28" spans="1:22" ht="16">
      <c r="F28" s="23"/>
    </row>
    <row r="29" spans="1:22" ht="16">
      <c r="F29" s="23"/>
    </row>
    <row r="30" spans="1:22" ht="16">
      <c r="F30" s="23"/>
    </row>
    <row r="31" spans="1:22" ht="16">
      <c r="F31" s="23"/>
    </row>
    <row r="32" spans="1:22" ht="16">
      <c r="F32" s="23"/>
    </row>
    <row r="33" spans="2:10" ht="16">
      <c r="F33" s="23"/>
    </row>
    <row r="35" spans="2:10" ht="18">
      <c r="B35" s="44"/>
      <c r="C35" s="44"/>
      <c r="D35" s="37"/>
      <c r="E35" s="37"/>
      <c r="F35" s="37"/>
      <c r="G35" s="37"/>
      <c r="H35" s="117"/>
      <c r="I35" s="117"/>
      <c r="J35" s="117"/>
    </row>
    <row r="36" spans="2:10" ht="16">
      <c r="B36" s="45"/>
      <c r="C36" s="45"/>
      <c r="D36" s="37"/>
      <c r="E36" s="37"/>
      <c r="F36" s="37"/>
      <c r="G36" s="37"/>
      <c r="H36" s="117"/>
      <c r="I36" s="117"/>
      <c r="J36" s="117"/>
    </row>
    <row r="37" spans="2:10" ht="14">
      <c r="B37" s="46"/>
      <c r="C37" s="47"/>
      <c r="D37" s="37"/>
      <c r="E37" s="37"/>
      <c r="F37" s="37"/>
      <c r="G37" s="37"/>
      <c r="H37" s="117"/>
      <c r="I37" s="117"/>
      <c r="J37" s="117"/>
    </row>
    <row r="38" spans="2:10" ht="14">
      <c r="B38" s="48"/>
      <c r="C38" s="48"/>
      <c r="D38" s="48"/>
      <c r="E38" s="48"/>
      <c r="F38" s="48"/>
      <c r="G38" s="37"/>
      <c r="H38" s="117"/>
      <c r="I38" s="117"/>
      <c r="J38" s="117"/>
    </row>
    <row r="39" spans="2:10">
      <c r="B39" s="49"/>
      <c r="C39" s="37"/>
      <c r="D39" s="37"/>
      <c r="E39" s="37"/>
      <c r="F39" s="50"/>
      <c r="G39" s="37"/>
      <c r="H39" s="117"/>
      <c r="I39" s="117"/>
      <c r="J39" s="117"/>
    </row>
    <row r="40" spans="2:10">
      <c r="B40" s="37"/>
      <c r="C40" s="37"/>
      <c r="D40" s="37"/>
      <c r="E40" s="37"/>
      <c r="F40" s="37"/>
      <c r="G40" s="37"/>
      <c r="H40" s="117"/>
      <c r="I40" s="117"/>
      <c r="J40" s="117"/>
    </row>
    <row r="41" spans="2:10" ht="14">
      <c r="B41" s="46"/>
      <c r="C41" s="47"/>
      <c r="D41" s="37"/>
      <c r="E41" s="37"/>
      <c r="F41" s="37"/>
      <c r="G41" s="37"/>
      <c r="H41" s="117"/>
      <c r="I41" s="117"/>
      <c r="J41" s="117"/>
    </row>
    <row r="42" spans="2:10" ht="14">
      <c r="B42" s="48"/>
      <c r="C42" s="48"/>
      <c r="D42" s="48"/>
      <c r="E42" s="48"/>
      <c r="F42" s="48"/>
      <c r="G42" s="37"/>
      <c r="H42" s="117"/>
      <c r="I42" s="117"/>
      <c r="J42" s="117"/>
    </row>
    <row r="43" spans="2:10">
      <c r="B43" s="49"/>
      <c r="C43" s="37"/>
      <c r="D43" s="37"/>
      <c r="E43" s="37"/>
      <c r="F43" s="50"/>
      <c r="G43" s="37"/>
      <c r="H43" s="117"/>
      <c r="I43" s="117"/>
      <c r="J43" s="117"/>
    </row>
    <row r="44" spans="2:10">
      <c r="B44" s="49"/>
      <c r="C44" s="37"/>
      <c r="D44" s="37"/>
      <c r="E44" s="37"/>
      <c r="F44" s="50"/>
      <c r="G44" s="37"/>
      <c r="H44" s="117"/>
      <c r="I44" s="117"/>
      <c r="J44" s="117"/>
    </row>
    <row r="45" spans="2:10">
      <c r="B45" s="49"/>
      <c r="C45" s="37"/>
      <c r="D45" s="37"/>
      <c r="E45" s="37"/>
      <c r="F45" s="50"/>
      <c r="G45" s="37"/>
      <c r="H45" s="117"/>
      <c r="I45" s="117"/>
      <c r="J45" s="117"/>
    </row>
    <row r="46" spans="2:10">
      <c r="B46" s="37"/>
      <c r="C46" s="37"/>
      <c r="D46" s="37"/>
      <c r="E46" s="37"/>
      <c r="F46" s="37"/>
      <c r="G46" s="37"/>
      <c r="H46" s="117"/>
      <c r="I46" s="117"/>
      <c r="J46" s="117"/>
    </row>
    <row r="47" spans="2:10">
      <c r="B47" s="37"/>
      <c r="C47" s="37"/>
      <c r="D47" s="37"/>
      <c r="E47" s="37"/>
      <c r="F47" s="37"/>
      <c r="G47" s="37"/>
      <c r="H47" s="117"/>
      <c r="I47" s="117"/>
      <c r="J47" s="117"/>
    </row>
    <row r="48" spans="2:10" ht="16">
      <c r="B48" s="45"/>
      <c r="C48" s="45"/>
      <c r="D48" s="37"/>
      <c r="E48" s="37"/>
      <c r="F48" s="37"/>
      <c r="G48" s="37"/>
      <c r="H48" s="117"/>
      <c r="I48" s="117"/>
      <c r="J48" s="117"/>
    </row>
    <row r="49" spans="2:10" ht="14">
      <c r="B49" s="46"/>
      <c r="C49" s="47"/>
      <c r="D49" s="37"/>
      <c r="E49" s="37"/>
      <c r="F49" s="37"/>
      <c r="G49" s="37"/>
      <c r="H49" s="117"/>
      <c r="I49" s="117"/>
      <c r="J49" s="117"/>
    </row>
    <row r="50" spans="2:10" ht="14">
      <c r="B50" s="48"/>
      <c r="C50" s="48"/>
      <c r="D50" s="48"/>
      <c r="E50" s="48"/>
      <c r="F50" s="48"/>
      <c r="G50" s="37"/>
      <c r="H50" s="117"/>
      <c r="I50" s="117"/>
      <c r="J50" s="117"/>
    </row>
    <row r="51" spans="2:10">
      <c r="B51" s="49"/>
      <c r="C51" s="37"/>
      <c r="D51" s="37"/>
      <c r="E51" s="37"/>
      <c r="F51" s="50"/>
      <c r="G51" s="37"/>
      <c r="H51" s="117"/>
      <c r="I51" s="117"/>
      <c r="J51" s="117"/>
    </row>
    <row r="52" spans="2:10">
      <c r="B52" s="49"/>
      <c r="C52" s="37"/>
      <c r="D52" s="37"/>
      <c r="E52" s="37"/>
      <c r="F52" s="50"/>
      <c r="G52" s="37"/>
      <c r="H52" s="117"/>
      <c r="I52" s="117"/>
      <c r="J52" s="117"/>
    </row>
    <row r="53" spans="2:10">
      <c r="B53" s="37"/>
      <c r="C53" s="37"/>
      <c r="D53" s="37"/>
      <c r="E53" s="37"/>
      <c r="F53" s="37"/>
      <c r="G53" s="37"/>
      <c r="H53" s="117"/>
      <c r="I53" s="117"/>
      <c r="J53" s="117"/>
    </row>
    <row r="54" spans="2:10" ht="14">
      <c r="B54" s="46"/>
      <c r="C54" s="47"/>
      <c r="D54" s="37"/>
      <c r="E54" s="37"/>
      <c r="F54" s="37"/>
      <c r="G54" s="37"/>
      <c r="H54" s="117"/>
      <c r="I54" s="117"/>
      <c r="J54" s="117"/>
    </row>
    <row r="55" spans="2:10" ht="14">
      <c r="B55" s="48"/>
      <c r="C55" s="48"/>
      <c r="D55" s="48"/>
      <c r="E55" s="48"/>
      <c r="F55" s="48"/>
      <c r="G55" s="37"/>
      <c r="H55" s="117"/>
      <c r="I55" s="117"/>
      <c r="J55" s="117"/>
    </row>
    <row r="56" spans="2:10">
      <c r="B56" s="49"/>
      <c r="C56" s="37"/>
      <c r="D56" s="37"/>
      <c r="E56" s="37"/>
      <c r="F56" s="50"/>
      <c r="G56" s="37"/>
      <c r="H56" s="117"/>
      <c r="I56" s="117"/>
      <c r="J56" s="117"/>
    </row>
  </sheetData>
  <mergeCells count="21">
    <mergeCell ref="A1:V2"/>
    <mergeCell ref="V3:V4"/>
    <mergeCell ref="B5:U5"/>
    <mergeCell ref="B9:U9"/>
    <mergeCell ref="B12:U1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B15:U15"/>
    <mergeCell ref="B18:U18"/>
    <mergeCell ref="B21:U21"/>
    <mergeCell ref="B24:U24"/>
    <mergeCell ref="T3:T4"/>
    <mergeCell ref="U3:U4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sqref="A1:N2"/>
    </sheetView>
  </sheetViews>
  <sheetFormatPr baseColWidth="10" defaultColWidth="8.7109375" defaultRowHeight="13" x14ac:dyDescent="0"/>
  <cols>
    <col min="2" max="2" width="26" style="22" bestFit="1" customWidth="1"/>
    <col min="3" max="3" width="22.85546875" style="22" bestFit="1" customWidth="1"/>
    <col min="4" max="4" width="12.28515625" style="22" customWidth="1"/>
    <col min="5" max="5" width="8.42578125" style="22" bestFit="1" customWidth="1"/>
    <col min="6" max="6" width="22.7109375" style="22" bestFit="1" customWidth="1"/>
    <col min="7" max="7" width="26.85546875" style="22" bestFit="1" customWidth="1"/>
    <col min="8" max="10" width="5.5703125" style="102" bestFit="1" customWidth="1"/>
    <col min="11" max="11" width="4.5703125" style="102" bestFit="1" customWidth="1"/>
    <col min="12" max="12" width="7.85546875" style="102" bestFit="1" customWidth="1"/>
    <col min="13" max="13" width="8.5703125" style="102" bestFit="1" customWidth="1"/>
    <col min="14" max="14" width="15.42578125" style="22" bestFit="1" customWidth="1"/>
  </cols>
  <sheetData>
    <row r="1" spans="1:14" s="1" customFormat="1" ht="15" customHeight="1">
      <c r="A1" s="183" t="s">
        <v>593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110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2</v>
      </c>
      <c r="I3" s="181"/>
      <c r="J3" s="181"/>
      <c r="K3" s="181"/>
      <c r="L3" s="181" t="s">
        <v>4</v>
      </c>
      <c r="M3" s="181" t="s">
        <v>6</v>
      </c>
      <c r="N3" s="193" t="s">
        <v>5</v>
      </c>
    </row>
    <row r="4" spans="1:14" s="2" customFormat="1" ht="21" customHeight="1" thickBot="1">
      <c r="A4" s="192"/>
      <c r="B4" s="189"/>
      <c r="C4" s="190"/>
      <c r="D4" s="190"/>
      <c r="E4" s="182"/>
      <c r="F4" s="182"/>
      <c r="G4" s="182"/>
      <c r="H4" s="6">
        <v>1</v>
      </c>
      <c r="I4" s="6">
        <v>2</v>
      </c>
      <c r="J4" s="6">
        <v>3</v>
      </c>
      <c r="K4" s="6" t="s">
        <v>8</v>
      </c>
      <c r="L4" s="182"/>
      <c r="M4" s="182"/>
      <c r="N4" s="194"/>
    </row>
    <row r="5" spans="1:14" ht="16">
      <c r="B5" s="187" t="s">
        <v>113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82">
        <v>1</v>
      </c>
      <c r="B6" s="31" t="s">
        <v>161</v>
      </c>
      <c r="C6" s="31" t="s">
        <v>162</v>
      </c>
      <c r="D6" s="31" t="s">
        <v>432</v>
      </c>
      <c r="E6" s="31" t="str">
        <f>"0,6139"</f>
        <v>0,6139</v>
      </c>
      <c r="F6" s="31" t="s">
        <v>13</v>
      </c>
      <c r="G6" s="31" t="s">
        <v>163</v>
      </c>
      <c r="H6" s="104" t="s">
        <v>112</v>
      </c>
      <c r="I6" s="103" t="s">
        <v>38</v>
      </c>
      <c r="J6" s="104" t="s">
        <v>164</v>
      </c>
      <c r="K6" s="101"/>
      <c r="L6" s="93" t="s">
        <v>38</v>
      </c>
      <c r="M6" s="93" t="str">
        <f>"131,9885"</f>
        <v>131,9885</v>
      </c>
      <c r="N6" s="31" t="s">
        <v>134</v>
      </c>
    </row>
    <row r="8" spans="1:14" ht="16">
      <c r="B8" s="37"/>
      <c r="C8" s="37"/>
      <c r="D8" s="37"/>
      <c r="E8" s="37"/>
      <c r="F8" s="43"/>
      <c r="G8" s="37"/>
    </row>
    <row r="9" spans="1:14" ht="16">
      <c r="B9" s="37"/>
      <c r="C9" s="37"/>
      <c r="D9" s="37"/>
      <c r="E9" s="37"/>
      <c r="F9" s="43"/>
      <c r="G9" s="37"/>
    </row>
    <row r="10" spans="1:14" ht="16">
      <c r="B10" s="37"/>
      <c r="C10" s="37"/>
      <c r="D10" s="37"/>
      <c r="E10" s="37"/>
      <c r="F10" s="43"/>
      <c r="G10" s="37"/>
    </row>
    <row r="11" spans="1:14" ht="16">
      <c r="B11" s="37"/>
      <c r="C11" s="37"/>
      <c r="D11" s="37"/>
      <c r="E11" s="37"/>
      <c r="F11" s="43"/>
      <c r="G11" s="37"/>
    </row>
    <row r="12" spans="1:14" ht="16">
      <c r="B12" s="37"/>
      <c r="C12" s="37"/>
      <c r="D12" s="37"/>
      <c r="E12" s="37"/>
      <c r="F12" s="43"/>
      <c r="G12" s="37"/>
    </row>
    <row r="13" spans="1:14" ht="16">
      <c r="B13" s="37"/>
      <c r="C13" s="37"/>
      <c r="D13" s="37"/>
      <c r="E13" s="37"/>
      <c r="F13" s="43"/>
      <c r="G13" s="37"/>
    </row>
    <row r="14" spans="1:14" ht="16">
      <c r="B14" s="37"/>
      <c r="C14" s="37"/>
      <c r="D14" s="37"/>
      <c r="E14" s="37"/>
      <c r="F14" s="43"/>
      <c r="G14" s="37"/>
    </row>
    <row r="15" spans="1:14">
      <c r="B15" s="37"/>
      <c r="C15" s="37"/>
      <c r="D15" s="37"/>
      <c r="E15" s="37"/>
      <c r="F15" s="37"/>
      <c r="G15" s="37"/>
    </row>
    <row r="16" spans="1:14" ht="18">
      <c r="B16" s="44"/>
      <c r="C16" s="44"/>
      <c r="D16" s="37"/>
      <c r="E16" s="37"/>
      <c r="F16" s="37"/>
      <c r="G16" s="37"/>
    </row>
    <row r="17" spans="2:7" ht="16">
      <c r="B17" s="45"/>
      <c r="C17" s="45"/>
      <c r="D17" s="37"/>
      <c r="E17" s="37"/>
      <c r="F17" s="37"/>
      <c r="G17" s="37"/>
    </row>
    <row r="18" spans="2:7" ht="14">
      <c r="B18" s="46"/>
      <c r="C18" s="47"/>
      <c r="D18" s="37"/>
      <c r="E18" s="37"/>
      <c r="F18" s="37"/>
      <c r="G18" s="37"/>
    </row>
    <row r="19" spans="2:7" ht="14">
      <c r="B19" s="48"/>
      <c r="C19" s="48"/>
      <c r="D19" s="48"/>
      <c r="E19" s="48"/>
      <c r="F19" s="48"/>
      <c r="G19" s="37"/>
    </row>
    <row r="20" spans="2:7">
      <c r="B20" s="49"/>
      <c r="C20" s="37"/>
      <c r="D20" s="37"/>
      <c r="E20" s="37"/>
      <c r="F20" s="50"/>
      <c r="G20" s="37"/>
    </row>
    <row r="21" spans="2:7">
      <c r="B21" s="37"/>
      <c r="C21" s="37"/>
      <c r="D21" s="37"/>
      <c r="E21" s="37"/>
      <c r="F21" s="37"/>
      <c r="G21" s="37"/>
    </row>
  </sheetData>
  <mergeCells count="13">
    <mergeCell ref="B5:M5"/>
    <mergeCell ref="B3:B4"/>
    <mergeCell ref="C3:C4"/>
    <mergeCell ref="D3:D4"/>
    <mergeCell ref="E3:E4"/>
    <mergeCell ref="F3:F4"/>
    <mergeCell ref="G3:G4"/>
    <mergeCell ref="H3:K3"/>
    <mergeCell ref="A1:N2"/>
    <mergeCell ref="A3:A4"/>
    <mergeCell ref="L3:L4"/>
    <mergeCell ref="M3:M4"/>
    <mergeCell ref="N3:N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workbookViewId="0">
      <selection activeCell="F37" sqref="F37"/>
    </sheetView>
  </sheetViews>
  <sheetFormatPr baseColWidth="10" defaultColWidth="8.7109375" defaultRowHeight="13" x14ac:dyDescent="0"/>
  <cols>
    <col min="1" max="1" width="8.7109375" style="42"/>
    <col min="2" max="2" width="26" style="22" bestFit="1" customWidth="1"/>
    <col min="3" max="3" width="29" style="22" bestFit="1" customWidth="1"/>
    <col min="4" max="4" width="15.7109375" style="22" customWidth="1"/>
    <col min="5" max="5" width="8.42578125" style="22" bestFit="1" customWidth="1"/>
    <col min="6" max="6" width="22.7109375" style="22" bestFit="1" customWidth="1"/>
    <col min="7" max="7" width="29" style="22" bestFit="1" customWidth="1"/>
    <col min="8" max="10" width="5.5703125" style="40" bestFit="1" customWidth="1"/>
    <col min="11" max="11" width="4.5703125" style="40" bestFit="1" customWidth="1"/>
    <col min="12" max="12" width="10.5703125" style="40" customWidth="1"/>
    <col min="13" max="13" width="8.5703125" style="40" bestFit="1" customWidth="1"/>
    <col min="14" max="14" width="16.28515625" style="22" bestFit="1" customWidth="1"/>
  </cols>
  <sheetData>
    <row r="1" spans="1:14" s="1" customFormat="1" ht="15" customHeight="1">
      <c r="A1" s="183" t="s">
        <v>583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118.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79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3</v>
      </c>
      <c r="I3" s="181"/>
      <c r="J3" s="181"/>
      <c r="K3" s="181"/>
      <c r="L3" s="181" t="s">
        <v>344</v>
      </c>
      <c r="M3" s="181" t="s">
        <v>6</v>
      </c>
      <c r="N3" s="185" t="s">
        <v>5</v>
      </c>
    </row>
    <row r="4" spans="1:14" s="2" customFormat="1" ht="21" customHeight="1" thickBot="1">
      <c r="A4" s="180"/>
      <c r="B4" s="189"/>
      <c r="C4" s="190"/>
      <c r="D4" s="190"/>
      <c r="E4" s="182"/>
      <c r="F4" s="182"/>
      <c r="G4" s="182"/>
      <c r="H4" s="5">
        <v>1</v>
      </c>
      <c r="I4" s="5">
        <v>2</v>
      </c>
      <c r="J4" s="5">
        <v>3</v>
      </c>
      <c r="K4" s="5" t="s">
        <v>8</v>
      </c>
      <c r="L4" s="182"/>
      <c r="M4" s="182"/>
      <c r="N4" s="186"/>
    </row>
    <row r="5" spans="1:14" ht="16">
      <c r="A5" s="25"/>
      <c r="B5" s="187" t="s">
        <v>127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 s="28" customFormat="1">
      <c r="A6" s="53" t="s">
        <v>340</v>
      </c>
      <c r="B6" s="38" t="s">
        <v>128</v>
      </c>
      <c r="C6" s="31" t="s">
        <v>129</v>
      </c>
      <c r="D6" s="31" t="s">
        <v>354</v>
      </c>
      <c r="E6" s="31" t="str">
        <f>"1,3553"</f>
        <v>1,3553</v>
      </c>
      <c r="F6" s="31" t="s">
        <v>116</v>
      </c>
      <c r="G6" s="31" t="s">
        <v>24</v>
      </c>
      <c r="H6" s="65" t="s">
        <v>133</v>
      </c>
      <c r="I6" s="66" t="s">
        <v>19</v>
      </c>
      <c r="J6" s="66" t="s">
        <v>19</v>
      </c>
      <c r="K6" s="67"/>
      <c r="L6" s="68" t="s">
        <v>133</v>
      </c>
      <c r="M6" s="68" t="str">
        <f>"135,5300"</f>
        <v>135,5300</v>
      </c>
      <c r="N6" s="31" t="s">
        <v>134</v>
      </c>
    </row>
    <row r="7" spans="1:14">
      <c r="A7" s="25"/>
    </row>
    <row r="8" spans="1:14" ht="16">
      <c r="B8" s="178" t="s">
        <v>10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4" s="57" customFormat="1">
      <c r="A9" s="54" t="s">
        <v>340</v>
      </c>
      <c r="B9" s="55" t="s">
        <v>315</v>
      </c>
      <c r="C9" s="56" t="s">
        <v>316</v>
      </c>
      <c r="D9" s="56" t="s">
        <v>355</v>
      </c>
      <c r="E9" s="56" t="str">
        <f>"1,2141"</f>
        <v>1,2141</v>
      </c>
      <c r="F9" s="56" t="s">
        <v>80</v>
      </c>
      <c r="G9" s="56" t="s">
        <v>81</v>
      </c>
      <c r="H9" s="69" t="s">
        <v>19</v>
      </c>
      <c r="I9" s="69" t="s">
        <v>96</v>
      </c>
      <c r="J9" s="70" t="s">
        <v>21</v>
      </c>
      <c r="K9" s="71"/>
      <c r="L9" s="72" t="s">
        <v>96</v>
      </c>
      <c r="M9" s="72" t="str">
        <f>"139,6215"</f>
        <v>139,6215</v>
      </c>
      <c r="N9" s="56" t="s">
        <v>345</v>
      </c>
    </row>
    <row r="10" spans="1:14" s="60" customFormat="1">
      <c r="A10" s="61">
        <v>1</v>
      </c>
      <c r="B10" s="58" t="s">
        <v>317</v>
      </c>
      <c r="C10" s="59" t="s">
        <v>318</v>
      </c>
      <c r="D10" s="59" t="s">
        <v>356</v>
      </c>
      <c r="E10" s="59" t="str">
        <f>"1,1916"</f>
        <v>1,1916</v>
      </c>
      <c r="F10" s="59" t="s">
        <v>319</v>
      </c>
      <c r="G10" s="59" t="s">
        <v>24</v>
      </c>
      <c r="H10" s="73" t="s">
        <v>130</v>
      </c>
      <c r="I10" s="73" t="s">
        <v>320</v>
      </c>
      <c r="J10" s="74"/>
      <c r="K10" s="74"/>
      <c r="L10" s="75">
        <v>87.5</v>
      </c>
      <c r="M10" s="75" t="str">
        <f>"104,2650"</f>
        <v>104,2650</v>
      </c>
      <c r="N10" s="59" t="s">
        <v>346</v>
      </c>
    </row>
    <row r="12" spans="1:14" ht="16">
      <c r="B12" s="178" t="s">
        <v>142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4" s="28" customFormat="1">
      <c r="A13" s="64">
        <v>1</v>
      </c>
      <c r="B13" s="31" t="s">
        <v>143</v>
      </c>
      <c r="C13" s="31" t="s">
        <v>144</v>
      </c>
      <c r="D13" s="31" t="s">
        <v>357</v>
      </c>
      <c r="E13" s="31" t="str">
        <f>"1,1371"</f>
        <v>1,1371</v>
      </c>
      <c r="F13" s="31" t="s">
        <v>13</v>
      </c>
      <c r="G13" s="31" t="s">
        <v>24</v>
      </c>
      <c r="H13" s="65" t="s">
        <v>109</v>
      </c>
      <c r="I13" s="65" t="s">
        <v>96</v>
      </c>
      <c r="J13" s="66" t="s">
        <v>20</v>
      </c>
      <c r="K13" s="67"/>
      <c r="L13" s="68" t="s">
        <v>96</v>
      </c>
      <c r="M13" s="68" t="str">
        <f>"130,7665"</f>
        <v>130,7665</v>
      </c>
      <c r="N13" s="31" t="s">
        <v>347</v>
      </c>
    </row>
    <row r="15" spans="1:14" ht="16">
      <c r="B15" s="178" t="s">
        <v>10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</row>
    <row r="16" spans="1:14" s="28" customFormat="1">
      <c r="A16" s="53" t="s">
        <v>340</v>
      </c>
      <c r="B16" s="31" t="s">
        <v>321</v>
      </c>
      <c r="C16" s="31" t="s">
        <v>322</v>
      </c>
      <c r="D16" s="31" t="s">
        <v>358</v>
      </c>
      <c r="E16" s="31" t="str">
        <f>"0,9421"</f>
        <v>0,9421</v>
      </c>
      <c r="F16" s="31" t="s">
        <v>13</v>
      </c>
      <c r="G16" s="31" t="s">
        <v>24</v>
      </c>
      <c r="H16" s="65" t="s">
        <v>91</v>
      </c>
      <c r="I16" s="65" t="s">
        <v>66</v>
      </c>
      <c r="J16" s="65" t="s">
        <v>49</v>
      </c>
      <c r="K16" s="67"/>
      <c r="L16" s="68" t="s">
        <v>49</v>
      </c>
      <c r="M16" s="68" t="str">
        <f>"141,3150"</f>
        <v>141,3150</v>
      </c>
      <c r="N16" s="31" t="s">
        <v>134</v>
      </c>
    </row>
    <row r="18" spans="1:14" ht="16">
      <c r="B18" s="178" t="s">
        <v>93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1:14" s="28" customFormat="1">
      <c r="A19" s="53" t="s">
        <v>340</v>
      </c>
      <c r="B19" s="31" t="s">
        <v>323</v>
      </c>
      <c r="C19" s="31" t="s">
        <v>324</v>
      </c>
      <c r="D19" s="31" t="s">
        <v>28</v>
      </c>
      <c r="E19" s="31" t="str">
        <f>"0,7952"</f>
        <v>0,7952</v>
      </c>
      <c r="F19" s="31" t="s">
        <v>13</v>
      </c>
      <c r="G19" s="31" t="s">
        <v>614</v>
      </c>
      <c r="H19" s="65" t="s">
        <v>91</v>
      </c>
      <c r="I19" s="66" t="s">
        <v>66</v>
      </c>
      <c r="J19" s="65" t="s">
        <v>66</v>
      </c>
      <c r="K19" s="67"/>
      <c r="L19" s="68" t="s">
        <v>66</v>
      </c>
      <c r="M19" s="68" t="str">
        <f>"115,3040"</f>
        <v>115,3040</v>
      </c>
      <c r="N19" s="31" t="s">
        <v>348</v>
      </c>
    </row>
    <row r="21" spans="1:14" ht="16">
      <c r="B21" s="178" t="s">
        <v>29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4" s="28" customFormat="1">
      <c r="A22" s="53" t="s">
        <v>340</v>
      </c>
      <c r="B22" s="31" t="s">
        <v>325</v>
      </c>
      <c r="C22" s="31" t="s">
        <v>326</v>
      </c>
      <c r="D22" s="31" t="s">
        <v>359</v>
      </c>
      <c r="E22" s="31" t="str">
        <f>"0,7256"</f>
        <v>0,7256</v>
      </c>
      <c r="F22" s="31" t="s">
        <v>13</v>
      </c>
      <c r="G22" s="31" t="s">
        <v>14</v>
      </c>
      <c r="H22" s="65" t="s">
        <v>117</v>
      </c>
      <c r="I22" s="66" t="s">
        <v>235</v>
      </c>
      <c r="J22" s="66" t="s">
        <v>84</v>
      </c>
      <c r="K22" s="67"/>
      <c r="L22" s="68" t="s">
        <v>117</v>
      </c>
      <c r="M22" s="68" t="str">
        <f>"134,2360"</f>
        <v>134,2360</v>
      </c>
      <c r="N22" s="31" t="s">
        <v>349</v>
      </c>
    </row>
    <row r="23" spans="1:14" s="28" customFormat="1">
      <c r="A23" s="53" t="s">
        <v>340</v>
      </c>
      <c r="B23" s="31" t="s">
        <v>327</v>
      </c>
      <c r="C23" s="31" t="s">
        <v>328</v>
      </c>
      <c r="D23" s="31" t="s">
        <v>98</v>
      </c>
      <c r="E23" s="31" t="str">
        <f>"0,7126"</f>
        <v>0,7126</v>
      </c>
      <c r="F23" s="31" t="s">
        <v>13</v>
      </c>
      <c r="G23" s="31" t="s">
        <v>163</v>
      </c>
      <c r="H23" s="65" t="s">
        <v>329</v>
      </c>
      <c r="I23" s="66" t="s">
        <v>235</v>
      </c>
      <c r="J23" s="66" t="s">
        <v>235</v>
      </c>
      <c r="K23" s="67"/>
      <c r="L23" s="68">
        <v>182.5</v>
      </c>
      <c r="M23" s="68" t="str">
        <f>"130,0495"</f>
        <v>130,0495</v>
      </c>
      <c r="N23" s="31" t="s">
        <v>350</v>
      </c>
    </row>
    <row r="25" spans="1:14" ht="16">
      <c r="B25" s="178" t="s">
        <v>165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</row>
    <row r="26" spans="1:14" s="28" customFormat="1">
      <c r="A26" s="53" t="s">
        <v>340</v>
      </c>
      <c r="B26" s="31" t="s">
        <v>330</v>
      </c>
      <c r="C26" s="31" t="s">
        <v>331</v>
      </c>
      <c r="D26" s="31" t="s">
        <v>360</v>
      </c>
      <c r="E26" s="31" t="str">
        <f>"0,6963"</f>
        <v>0,6963</v>
      </c>
      <c r="F26" s="31" t="s">
        <v>13</v>
      </c>
      <c r="G26" s="31" t="s">
        <v>366</v>
      </c>
      <c r="H26" s="65" t="s">
        <v>169</v>
      </c>
      <c r="I26" s="65" t="s">
        <v>329</v>
      </c>
      <c r="J26" s="66" t="s">
        <v>234</v>
      </c>
      <c r="K26" s="67"/>
      <c r="L26" s="68">
        <v>182.5</v>
      </c>
      <c r="M26" s="68" t="str">
        <f>"127,0748"</f>
        <v>127,0748</v>
      </c>
      <c r="N26" s="31" t="s">
        <v>134</v>
      </c>
    </row>
    <row r="28" spans="1:14" ht="16">
      <c r="B28" s="178" t="s">
        <v>41</v>
      </c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</row>
    <row r="29" spans="1:14" s="28" customFormat="1">
      <c r="A29" s="53" t="s">
        <v>340</v>
      </c>
      <c r="B29" s="31" t="s">
        <v>332</v>
      </c>
      <c r="C29" s="31" t="s">
        <v>333</v>
      </c>
      <c r="D29" s="31" t="s">
        <v>361</v>
      </c>
      <c r="E29" s="31" t="str">
        <f>"0,6503"</f>
        <v>0,6503</v>
      </c>
      <c r="F29" s="31" t="s">
        <v>13</v>
      </c>
      <c r="G29" s="31" t="s">
        <v>81</v>
      </c>
      <c r="H29" s="65" t="s">
        <v>83</v>
      </c>
      <c r="I29" s="65" t="s">
        <v>334</v>
      </c>
      <c r="J29" s="65" t="s">
        <v>112</v>
      </c>
      <c r="K29" s="67"/>
      <c r="L29" s="68" t="s">
        <v>112</v>
      </c>
      <c r="M29" s="68" t="str">
        <f>"136,5630"</f>
        <v>136,5630</v>
      </c>
      <c r="N29" s="31" t="s">
        <v>351</v>
      </c>
    </row>
    <row r="31" spans="1:14" ht="16">
      <c r="B31" s="178" t="s">
        <v>113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</row>
    <row r="32" spans="1:14" s="26" customFormat="1">
      <c r="A32" s="54" t="s">
        <v>340</v>
      </c>
      <c r="B32" s="29" t="s">
        <v>287</v>
      </c>
      <c r="C32" s="29" t="s">
        <v>288</v>
      </c>
      <c r="D32" s="29" t="s">
        <v>362</v>
      </c>
      <c r="E32" s="29" t="str">
        <f>"0,6144"</f>
        <v>0,6144</v>
      </c>
      <c r="F32" s="29" t="s">
        <v>13</v>
      </c>
      <c r="G32" s="29" t="s">
        <v>24</v>
      </c>
      <c r="H32" s="76" t="s">
        <v>33</v>
      </c>
      <c r="I32" s="76" t="s">
        <v>112</v>
      </c>
      <c r="J32" s="76" t="s">
        <v>38</v>
      </c>
      <c r="K32" s="77"/>
      <c r="L32" s="78" t="s">
        <v>38</v>
      </c>
      <c r="M32" s="78" t="str">
        <f>"132,0960"</f>
        <v>132,0960</v>
      </c>
      <c r="N32" s="29" t="s">
        <v>351</v>
      </c>
    </row>
    <row r="33" spans="1:14" s="27" customFormat="1">
      <c r="A33" s="63" t="s">
        <v>367</v>
      </c>
      <c r="B33" s="30" t="s">
        <v>335</v>
      </c>
      <c r="C33" s="30" t="s">
        <v>336</v>
      </c>
      <c r="D33" s="30" t="s">
        <v>363</v>
      </c>
      <c r="E33" s="30" t="str">
        <f>"0,6101"</f>
        <v>0,6101</v>
      </c>
      <c r="F33" s="30" t="s">
        <v>13</v>
      </c>
      <c r="G33" s="30" t="s">
        <v>614</v>
      </c>
      <c r="H33" s="79" t="s">
        <v>83</v>
      </c>
      <c r="I33" s="79" t="s">
        <v>112</v>
      </c>
      <c r="J33" s="80"/>
      <c r="K33" s="80"/>
      <c r="L33" s="81" t="s">
        <v>112</v>
      </c>
      <c r="M33" s="81" t="str">
        <f>"128,1210"</f>
        <v>128,1210</v>
      </c>
      <c r="N33" s="30" t="s">
        <v>348</v>
      </c>
    </row>
    <row r="35" spans="1:14" ht="16">
      <c r="B35" s="178" t="s">
        <v>62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  <row r="36" spans="1:14" s="28" customFormat="1">
      <c r="A36" s="53" t="s">
        <v>340</v>
      </c>
      <c r="B36" s="31" t="s">
        <v>154</v>
      </c>
      <c r="C36" s="31" t="s">
        <v>155</v>
      </c>
      <c r="D36" s="31" t="s">
        <v>364</v>
      </c>
      <c r="E36" s="31" t="str">
        <f>"0,5939"</f>
        <v>0,5939</v>
      </c>
      <c r="F36" s="31" t="s">
        <v>90</v>
      </c>
      <c r="G36" s="31" t="s">
        <v>24</v>
      </c>
      <c r="H36" s="65" t="s">
        <v>60</v>
      </c>
      <c r="I36" s="65" t="s">
        <v>83</v>
      </c>
      <c r="J36" s="66" t="s">
        <v>33</v>
      </c>
      <c r="K36" s="67"/>
      <c r="L36" s="68" t="s">
        <v>83</v>
      </c>
      <c r="M36" s="68" t="str">
        <f>"112,8410"</f>
        <v>112,8410</v>
      </c>
      <c r="N36" s="31" t="s">
        <v>352</v>
      </c>
    </row>
    <row r="38" spans="1:14" ht="16">
      <c r="B38" s="178" t="s">
        <v>309</v>
      </c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</row>
    <row r="39" spans="1:14" s="28" customFormat="1">
      <c r="A39" s="53" t="s">
        <v>340</v>
      </c>
      <c r="B39" s="31" t="s">
        <v>337</v>
      </c>
      <c r="C39" s="31" t="s">
        <v>338</v>
      </c>
      <c r="D39" s="31" t="s">
        <v>365</v>
      </c>
      <c r="E39" s="31" t="str">
        <f>"0,5607"</f>
        <v>0,5607</v>
      </c>
      <c r="F39" s="31" t="s">
        <v>13</v>
      </c>
      <c r="G39" s="31" t="s">
        <v>614</v>
      </c>
      <c r="H39" s="65" t="s">
        <v>53</v>
      </c>
      <c r="I39" s="65" t="s">
        <v>313</v>
      </c>
      <c r="J39" s="66" t="s">
        <v>314</v>
      </c>
      <c r="K39" s="67"/>
      <c r="L39" s="68" t="s">
        <v>313</v>
      </c>
      <c r="M39" s="68" t="str">
        <f>"156,9960"</f>
        <v>156,9960</v>
      </c>
      <c r="N39" s="31" t="s">
        <v>353</v>
      </c>
    </row>
    <row r="41" spans="1:14" ht="16">
      <c r="F41" s="23"/>
    </row>
    <row r="42" spans="1:14" ht="16">
      <c r="F42" s="23"/>
    </row>
    <row r="43" spans="1:14" ht="16">
      <c r="F43" s="23"/>
    </row>
    <row r="44" spans="1:14" ht="16">
      <c r="F44" s="23"/>
    </row>
    <row r="45" spans="1:14" ht="16">
      <c r="F45" s="23"/>
    </row>
    <row r="46" spans="1:14" ht="16">
      <c r="B46" s="37"/>
      <c r="C46" s="37"/>
      <c r="D46" s="37"/>
      <c r="E46" s="37"/>
      <c r="F46" s="43"/>
      <c r="G46" s="37"/>
    </row>
    <row r="47" spans="1:14" ht="16">
      <c r="B47" s="37"/>
      <c r="C47" s="37"/>
      <c r="D47" s="37"/>
      <c r="E47" s="37"/>
      <c r="F47" s="43"/>
      <c r="G47" s="37"/>
    </row>
    <row r="48" spans="1:14">
      <c r="B48" s="37"/>
      <c r="C48" s="37"/>
      <c r="D48" s="37"/>
      <c r="E48" s="37"/>
      <c r="F48" s="37"/>
      <c r="G48" s="37"/>
    </row>
    <row r="49" spans="2:7" ht="18">
      <c r="B49" s="44"/>
      <c r="C49" s="44"/>
      <c r="D49" s="37"/>
      <c r="E49" s="37"/>
      <c r="F49" s="37"/>
      <c r="G49" s="37"/>
    </row>
    <row r="50" spans="2:7" ht="16">
      <c r="B50" s="45"/>
      <c r="C50" s="45"/>
      <c r="D50" s="37"/>
      <c r="E50" s="37"/>
      <c r="F50" s="37"/>
      <c r="G50" s="37"/>
    </row>
    <row r="51" spans="2:7" ht="14">
      <c r="B51" s="46"/>
      <c r="C51" s="47"/>
      <c r="D51" s="37"/>
      <c r="E51" s="37"/>
      <c r="F51" s="37"/>
      <c r="G51" s="37"/>
    </row>
    <row r="52" spans="2:7" ht="14">
      <c r="B52" s="48"/>
      <c r="C52" s="48"/>
      <c r="D52" s="48"/>
      <c r="E52" s="48"/>
      <c r="F52" s="48"/>
      <c r="G52" s="37"/>
    </row>
    <row r="53" spans="2:7">
      <c r="B53" s="49"/>
      <c r="C53" s="37"/>
      <c r="D53" s="37"/>
      <c r="E53" s="37"/>
      <c r="F53" s="50"/>
      <c r="G53" s="37"/>
    </row>
    <row r="54" spans="2:7">
      <c r="B54" s="37"/>
      <c r="C54" s="37"/>
      <c r="D54" s="37"/>
      <c r="E54" s="37"/>
      <c r="F54" s="37"/>
      <c r="G54" s="37"/>
    </row>
    <row r="55" spans="2:7" ht="14">
      <c r="B55" s="46"/>
      <c r="C55" s="47"/>
      <c r="D55" s="37"/>
      <c r="E55" s="37"/>
      <c r="F55" s="37"/>
      <c r="G55" s="37"/>
    </row>
    <row r="56" spans="2:7" ht="14">
      <c r="B56" s="48"/>
      <c r="C56" s="48"/>
      <c r="D56" s="48"/>
      <c r="E56" s="48"/>
      <c r="F56" s="48"/>
      <c r="G56" s="37"/>
    </row>
    <row r="57" spans="2:7">
      <c r="B57" s="49"/>
      <c r="C57" s="37"/>
      <c r="D57" s="37"/>
      <c r="E57" s="37"/>
      <c r="F57" s="50"/>
      <c r="G57" s="37"/>
    </row>
    <row r="58" spans="2:7">
      <c r="B58" s="49"/>
      <c r="C58" s="37"/>
      <c r="D58" s="37"/>
      <c r="E58" s="37"/>
      <c r="F58" s="50"/>
      <c r="G58" s="37"/>
    </row>
    <row r="59" spans="2:7">
      <c r="B59" s="37"/>
      <c r="C59" s="37"/>
      <c r="D59" s="37"/>
      <c r="E59" s="37"/>
      <c r="F59" s="37"/>
      <c r="G59" s="37"/>
    </row>
    <row r="60" spans="2:7" ht="14">
      <c r="B60" s="46"/>
      <c r="C60" s="47"/>
      <c r="D60" s="37"/>
      <c r="E60" s="37"/>
      <c r="F60" s="37"/>
      <c r="G60" s="37"/>
    </row>
    <row r="61" spans="2:7" ht="14">
      <c r="B61" s="48"/>
      <c r="C61" s="48"/>
      <c r="D61" s="48"/>
      <c r="E61" s="48"/>
      <c r="F61" s="48"/>
      <c r="G61" s="37"/>
    </row>
    <row r="62" spans="2:7">
      <c r="B62" s="49"/>
      <c r="C62" s="37"/>
      <c r="D62" s="37"/>
      <c r="E62" s="37"/>
      <c r="F62" s="50"/>
      <c r="G62" s="37"/>
    </row>
    <row r="63" spans="2:7">
      <c r="B63" s="49"/>
      <c r="C63" s="37"/>
      <c r="D63" s="37"/>
      <c r="E63" s="37"/>
      <c r="F63" s="50"/>
      <c r="G63" s="37"/>
    </row>
    <row r="64" spans="2:7">
      <c r="B64" s="49"/>
      <c r="C64" s="37"/>
      <c r="D64" s="37"/>
      <c r="E64" s="37"/>
      <c r="F64" s="50"/>
      <c r="G64" s="37"/>
    </row>
    <row r="65" spans="2:7">
      <c r="B65" s="37"/>
      <c r="C65" s="37"/>
      <c r="D65" s="37"/>
      <c r="E65" s="37"/>
      <c r="F65" s="37"/>
      <c r="G65" s="37"/>
    </row>
    <row r="66" spans="2:7">
      <c r="B66" s="37"/>
      <c r="C66" s="37"/>
      <c r="D66" s="37"/>
      <c r="E66" s="37"/>
      <c r="F66" s="37"/>
      <c r="G66" s="37"/>
    </row>
    <row r="67" spans="2:7" ht="16">
      <c r="B67" s="45"/>
      <c r="C67" s="45"/>
      <c r="D67" s="37"/>
      <c r="E67" s="37"/>
      <c r="F67" s="37"/>
      <c r="G67" s="37"/>
    </row>
    <row r="68" spans="2:7" ht="14">
      <c r="B68" s="46"/>
      <c r="C68" s="47"/>
      <c r="D68" s="37"/>
      <c r="E68" s="37"/>
      <c r="F68" s="37"/>
      <c r="G68" s="37"/>
    </row>
    <row r="69" spans="2:7" ht="14">
      <c r="B69" s="48"/>
      <c r="C69" s="48"/>
      <c r="D69" s="48"/>
      <c r="E69" s="48"/>
      <c r="F69" s="48"/>
      <c r="G69" s="37"/>
    </row>
    <row r="70" spans="2:7">
      <c r="B70" s="49"/>
      <c r="C70" s="37"/>
      <c r="D70" s="37"/>
      <c r="E70" s="37"/>
      <c r="F70" s="50"/>
      <c r="G70" s="37"/>
    </row>
    <row r="71" spans="2:7">
      <c r="B71" s="49"/>
      <c r="C71" s="37"/>
      <c r="D71" s="37"/>
      <c r="E71" s="37"/>
      <c r="F71" s="50"/>
      <c r="G71" s="37"/>
    </row>
    <row r="72" spans="2:7">
      <c r="B72" s="49"/>
      <c r="C72" s="37"/>
      <c r="D72" s="37"/>
      <c r="E72" s="37"/>
      <c r="F72" s="50"/>
      <c r="G72" s="37"/>
    </row>
    <row r="73" spans="2:7">
      <c r="B73" s="49"/>
      <c r="C73" s="37"/>
      <c r="D73" s="37"/>
      <c r="E73" s="37"/>
      <c r="F73" s="50"/>
      <c r="G73" s="37"/>
    </row>
    <row r="74" spans="2:7">
      <c r="B74" s="37"/>
      <c r="C74" s="37"/>
      <c r="D74" s="37"/>
      <c r="E74" s="37"/>
      <c r="F74" s="37"/>
      <c r="G74" s="37"/>
    </row>
    <row r="75" spans="2:7" ht="14">
      <c r="B75" s="46"/>
      <c r="C75" s="47"/>
      <c r="D75" s="37"/>
      <c r="E75" s="37"/>
      <c r="F75" s="37"/>
      <c r="G75" s="37"/>
    </row>
    <row r="76" spans="2:7" ht="14">
      <c r="B76" s="48"/>
      <c r="C76" s="48"/>
      <c r="D76" s="48"/>
      <c r="E76" s="48"/>
      <c r="F76" s="48"/>
      <c r="G76" s="37"/>
    </row>
    <row r="77" spans="2:7">
      <c r="B77" s="49"/>
      <c r="C77" s="37"/>
      <c r="D77" s="37"/>
      <c r="E77" s="37"/>
      <c r="F77" s="50"/>
      <c r="G77" s="37"/>
    </row>
    <row r="78" spans="2:7">
      <c r="B78" s="49"/>
      <c r="C78" s="37"/>
      <c r="D78" s="37"/>
      <c r="E78" s="37"/>
      <c r="F78" s="50"/>
      <c r="G78" s="37"/>
    </row>
    <row r="79" spans="2:7">
      <c r="B79" s="49"/>
      <c r="C79" s="37"/>
      <c r="D79" s="37"/>
      <c r="E79" s="37"/>
      <c r="F79" s="50"/>
      <c r="G79" s="37"/>
    </row>
    <row r="80" spans="2:7">
      <c r="B80" s="49"/>
      <c r="C80" s="37"/>
      <c r="D80" s="37"/>
      <c r="E80" s="37"/>
      <c r="F80" s="50"/>
      <c r="G80" s="37"/>
    </row>
    <row r="81" spans="2:7">
      <c r="B81" s="49"/>
      <c r="C81" s="37"/>
      <c r="D81" s="37"/>
      <c r="E81" s="37"/>
      <c r="F81" s="50"/>
      <c r="G81" s="37"/>
    </row>
    <row r="82" spans="2:7">
      <c r="B82" s="37"/>
      <c r="C82" s="37"/>
      <c r="D82" s="37"/>
      <c r="E82" s="37"/>
      <c r="F82" s="37"/>
      <c r="G82" s="37"/>
    </row>
    <row r="83" spans="2:7" ht="14">
      <c r="B83" s="46"/>
      <c r="C83" s="47"/>
      <c r="D83" s="37"/>
      <c r="E83" s="37"/>
      <c r="F83" s="37"/>
      <c r="G83" s="37"/>
    </row>
    <row r="84" spans="2:7" ht="14">
      <c r="B84" s="48"/>
      <c r="C84" s="48"/>
      <c r="D84" s="48"/>
      <c r="E84" s="48"/>
      <c r="F84" s="48"/>
      <c r="G84" s="37"/>
    </row>
    <row r="85" spans="2:7">
      <c r="B85" s="49"/>
      <c r="C85" s="37"/>
      <c r="D85" s="37"/>
      <c r="E85" s="37"/>
      <c r="F85" s="50"/>
      <c r="G85" s="37"/>
    </row>
    <row r="86" spans="2:7">
      <c r="B86" s="49"/>
      <c r="C86" s="37"/>
      <c r="D86" s="37"/>
      <c r="E86" s="37"/>
      <c r="F86" s="50"/>
      <c r="G86" s="37"/>
    </row>
    <row r="87" spans="2:7">
      <c r="B87" s="37"/>
      <c r="C87" s="37"/>
      <c r="D87" s="37"/>
      <c r="E87" s="37"/>
      <c r="F87" s="37"/>
      <c r="G87" s="37"/>
    </row>
    <row r="88" spans="2:7">
      <c r="B88" s="37"/>
      <c r="C88" s="37"/>
      <c r="D88" s="37"/>
      <c r="E88" s="37"/>
      <c r="F88" s="37"/>
      <c r="G88" s="37"/>
    </row>
    <row r="89" spans="2:7">
      <c r="B89" s="37"/>
      <c r="C89" s="37"/>
      <c r="D89" s="37"/>
      <c r="E89" s="37"/>
      <c r="F89" s="37"/>
      <c r="G89" s="37"/>
    </row>
    <row r="90" spans="2:7">
      <c r="B90" s="37"/>
      <c r="C90" s="37"/>
      <c r="D90" s="37"/>
      <c r="E90" s="37"/>
      <c r="F90" s="37"/>
      <c r="G90" s="37"/>
    </row>
    <row r="91" spans="2:7">
      <c r="B91" s="37"/>
      <c r="C91" s="37"/>
      <c r="D91" s="37"/>
      <c r="E91" s="37"/>
      <c r="F91" s="37"/>
      <c r="G91" s="37"/>
    </row>
    <row r="92" spans="2:7">
      <c r="B92" s="37"/>
      <c r="C92" s="37"/>
      <c r="D92" s="37"/>
      <c r="E92" s="37"/>
      <c r="F92" s="37"/>
      <c r="G92" s="37"/>
    </row>
    <row r="93" spans="2:7">
      <c r="B93" s="37"/>
      <c r="C93" s="37"/>
      <c r="D93" s="37"/>
      <c r="E93" s="37"/>
      <c r="F93" s="37"/>
      <c r="G93" s="37"/>
    </row>
    <row r="94" spans="2:7">
      <c r="B94" s="37"/>
      <c r="C94" s="37"/>
      <c r="D94" s="37"/>
      <c r="E94" s="37"/>
      <c r="F94" s="37"/>
      <c r="G94" s="37"/>
    </row>
    <row r="95" spans="2:7">
      <c r="B95" s="37"/>
      <c r="C95" s="37"/>
      <c r="D95" s="37"/>
      <c r="E95" s="37"/>
      <c r="F95" s="37"/>
      <c r="G95" s="37"/>
    </row>
    <row r="96" spans="2:7">
      <c r="B96" s="37"/>
      <c r="C96" s="37"/>
      <c r="D96" s="37"/>
      <c r="E96" s="37"/>
      <c r="F96" s="37"/>
      <c r="G96" s="37"/>
    </row>
    <row r="97" spans="2:7">
      <c r="B97" s="37"/>
      <c r="C97" s="37"/>
      <c r="D97" s="37"/>
      <c r="E97" s="37"/>
      <c r="F97" s="37"/>
      <c r="G97" s="37"/>
    </row>
    <row r="98" spans="2:7">
      <c r="B98" s="37"/>
      <c r="C98" s="37"/>
      <c r="D98" s="37"/>
      <c r="E98" s="37"/>
      <c r="F98" s="37"/>
      <c r="G98" s="37"/>
    </row>
    <row r="99" spans="2:7">
      <c r="B99" s="37"/>
      <c r="C99" s="37"/>
      <c r="D99" s="37"/>
      <c r="E99" s="37"/>
      <c r="F99" s="37"/>
      <c r="G99" s="37"/>
    </row>
    <row r="100" spans="2:7">
      <c r="B100" s="37"/>
      <c r="C100" s="37"/>
      <c r="D100" s="37"/>
      <c r="E100" s="37"/>
      <c r="F100" s="37"/>
      <c r="G100" s="37"/>
    </row>
    <row r="101" spans="2:7">
      <c r="B101" s="37"/>
      <c r="C101" s="37"/>
      <c r="D101" s="37"/>
      <c r="E101" s="37"/>
      <c r="F101" s="37"/>
      <c r="G101" s="37"/>
    </row>
    <row r="102" spans="2:7">
      <c r="B102" s="37"/>
      <c r="C102" s="37"/>
      <c r="D102" s="37"/>
      <c r="E102" s="37"/>
      <c r="F102" s="37"/>
      <c r="G102" s="37"/>
    </row>
    <row r="103" spans="2:7">
      <c r="B103" s="37"/>
      <c r="C103" s="37"/>
      <c r="D103" s="37"/>
      <c r="E103" s="37"/>
      <c r="F103" s="37"/>
      <c r="G103" s="37"/>
    </row>
    <row r="104" spans="2:7">
      <c r="B104" s="37"/>
      <c r="C104" s="37"/>
      <c r="D104" s="37"/>
      <c r="E104" s="37"/>
      <c r="F104" s="37"/>
      <c r="G104" s="37"/>
    </row>
    <row r="105" spans="2:7">
      <c r="B105" s="37"/>
      <c r="C105" s="37"/>
      <c r="D105" s="37"/>
      <c r="E105" s="37"/>
      <c r="F105" s="37"/>
      <c r="G105" s="37"/>
    </row>
    <row r="106" spans="2:7">
      <c r="B106" s="37"/>
      <c r="C106" s="37"/>
      <c r="D106" s="37"/>
      <c r="E106" s="37"/>
      <c r="F106" s="37"/>
      <c r="G106" s="37"/>
    </row>
    <row r="107" spans="2:7">
      <c r="B107" s="37"/>
      <c r="C107" s="37"/>
      <c r="D107" s="37"/>
      <c r="E107" s="37"/>
      <c r="F107" s="37"/>
      <c r="G107" s="37"/>
    </row>
    <row r="108" spans="2:7">
      <c r="B108" s="37"/>
      <c r="C108" s="37"/>
      <c r="D108" s="37"/>
      <c r="E108" s="37"/>
      <c r="F108" s="37"/>
      <c r="G108" s="37"/>
    </row>
    <row r="109" spans="2:7">
      <c r="B109" s="37"/>
      <c r="C109" s="37"/>
      <c r="D109" s="37"/>
      <c r="E109" s="37"/>
      <c r="F109" s="37"/>
      <c r="G109" s="37"/>
    </row>
    <row r="110" spans="2:7">
      <c r="B110" s="37"/>
      <c r="C110" s="37"/>
      <c r="D110" s="37"/>
      <c r="E110" s="37"/>
      <c r="F110" s="37"/>
      <c r="G110" s="37"/>
    </row>
    <row r="111" spans="2:7">
      <c r="B111" s="37"/>
      <c r="C111" s="37"/>
      <c r="D111" s="37"/>
      <c r="E111" s="37"/>
      <c r="F111" s="37"/>
      <c r="G111" s="37"/>
    </row>
    <row r="112" spans="2:7">
      <c r="B112" s="37"/>
      <c r="C112" s="37"/>
      <c r="D112" s="37"/>
      <c r="E112" s="37"/>
      <c r="F112" s="37"/>
      <c r="G112" s="37"/>
    </row>
    <row r="113" spans="2:7">
      <c r="B113" s="37"/>
      <c r="C113" s="37"/>
      <c r="D113" s="37"/>
      <c r="E113" s="37"/>
      <c r="F113" s="37"/>
      <c r="G113" s="37"/>
    </row>
  </sheetData>
  <mergeCells count="23">
    <mergeCell ref="A1:N2"/>
    <mergeCell ref="N3:N4"/>
    <mergeCell ref="B5:M5"/>
    <mergeCell ref="B8:M8"/>
    <mergeCell ref="B12:M12"/>
    <mergeCell ref="B3:B4"/>
    <mergeCell ref="C3:C4"/>
    <mergeCell ref="D3:D4"/>
    <mergeCell ref="E3:E4"/>
    <mergeCell ref="F3:F4"/>
    <mergeCell ref="G3:G4"/>
    <mergeCell ref="H3:K3"/>
    <mergeCell ref="B35:M35"/>
    <mergeCell ref="B38:M38"/>
    <mergeCell ref="A3:A4"/>
    <mergeCell ref="B15:M15"/>
    <mergeCell ref="B18:M18"/>
    <mergeCell ref="B21:M21"/>
    <mergeCell ref="B25:M25"/>
    <mergeCell ref="B28:M28"/>
    <mergeCell ref="B31:M31"/>
    <mergeCell ref="L3:L4"/>
    <mergeCell ref="M3:M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sqref="A1:N2"/>
    </sheetView>
  </sheetViews>
  <sheetFormatPr baseColWidth="10" defaultColWidth="8.7109375" defaultRowHeight="13" x14ac:dyDescent="0"/>
  <cols>
    <col min="2" max="2" width="26" style="22" bestFit="1" customWidth="1"/>
    <col min="3" max="3" width="26.5703125" style="22" bestFit="1" customWidth="1"/>
    <col min="4" max="4" width="12.42578125" style="22" customWidth="1"/>
    <col min="5" max="5" width="8.42578125" style="22" bestFit="1" customWidth="1"/>
    <col min="6" max="6" width="22.7109375" style="22" bestFit="1" customWidth="1"/>
    <col min="7" max="7" width="28.28515625" style="22" bestFit="1" customWidth="1"/>
    <col min="8" max="10" width="5.5703125" style="22" bestFit="1" customWidth="1"/>
    <col min="11" max="11" width="4.5703125" style="22" bestFit="1" customWidth="1"/>
    <col min="12" max="12" width="7.85546875" style="88" bestFit="1" customWidth="1"/>
    <col min="13" max="13" width="8.5703125" style="88" bestFit="1" customWidth="1"/>
    <col min="14" max="14" width="15.42578125" style="22" bestFit="1" customWidth="1"/>
  </cols>
  <sheetData>
    <row r="1" spans="1:14" s="1" customFormat="1" ht="15" customHeight="1">
      <c r="A1" s="183" t="s">
        <v>585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114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3</v>
      </c>
      <c r="I3" s="181"/>
      <c r="J3" s="181"/>
      <c r="K3" s="181"/>
      <c r="L3" s="181" t="s">
        <v>344</v>
      </c>
      <c r="M3" s="181" t="s">
        <v>6</v>
      </c>
      <c r="N3" s="185" t="s">
        <v>5</v>
      </c>
    </row>
    <row r="4" spans="1:14" s="2" customFormat="1" ht="21" customHeight="1" thickBot="1">
      <c r="A4" s="192"/>
      <c r="B4" s="189"/>
      <c r="C4" s="190"/>
      <c r="D4" s="190"/>
      <c r="E4" s="182"/>
      <c r="F4" s="182"/>
      <c r="G4" s="182"/>
      <c r="H4" s="6">
        <v>1</v>
      </c>
      <c r="I4" s="6">
        <v>2</v>
      </c>
      <c r="J4" s="6">
        <v>3</v>
      </c>
      <c r="K4" s="6" t="s">
        <v>8</v>
      </c>
      <c r="L4" s="182"/>
      <c r="M4" s="182"/>
      <c r="N4" s="186"/>
    </row>
    <row r="5" spans="1:14" ht="16">
      <c r="B5" s="187" t="s">
        <v>165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97">
        <v>1</v>
      </c>
      <c r="B6" s="51" t="s">
        <v>299</v>
      </c>
      <c r="C6" s="29" t="s">
        <v>300</v>
      </c>
      <c r="D6" s="29" t="s">
        <v>369</v>
      </c>
      <c r="E6" s="29" t="str">
        <f>"0,7067"</f>
        <v>0,7067</v>
      </c>
      <c r="F6" s="29" t="s">
        <v>13</v>
      </c>
      <c r="G6" s="29" t="s">
        <v>191</v>
      </c>
      <c r="H6" s="94" t="s">
        <v>60</v>
      </c>
      <c r="I6" s="94" t="s">
        <v>60</v>
      </c>
      <c r="J6" s="94" t="s">
        <v>60</v>
      </c>
      <c r="K6" s="77"/>
      <c r="L6" s="90">
        <v>0</v>
      </c>
      <c r="M6" s="90" t="str">
        <f>"0,0000"</f>
        <v>0,0000</v>
      </c>
      <c r="N6" s="29" t="s">
        <v>134</v>
      </c>
    </row>
    <row r="7" spans="1:14">
      <c r="A7" s="98">
        <v>1</v>
      </c>
      <c r="B7" s="96" t="s">
        <v>301</v>
      </c>
      <c r="C7" s="41" t="s">
        <v>302</v>
      </c>
      <c r="D7" s="41" t="s">
        <v>370</v>
      </c>
      <c r="E7" s="41" t="str">
        <f>"0,6785"</f>
        <v>0,6785</v>
      </c>
      <c r="F7" s="41" t="s">
        <v>13</v>
      </c>
      <c r="G7" s="41" t="s">
        <v>24</v>
      </c>
      <c r="H7" s="95" t="s">
        <v>112</v>
      </c>
      <c r="I7" s="95" t="s">
        <v>303</v>
      </c>
      <c r="J7" s="95" t="s">
        <v>51</v>
      </c>
      <c r="K7" s="89"/>
      <c r="L7" s="91" t="s">
        <v>51</v>
      </c>
      <c r="M7" s="91" t="str">
        <f>"162,8400"</f>
        <v>162,8400</v>
      </c>
      <c r="N7" s="41" t="s">
        <v>374</v>
      </c>
    </row>
    <row r="8" spans="1:14">
      <c r="A8" s="99">
        <v>2</v>
      </c>
      <c r="B8" s="52" t="s">
        <v>304</v>
      </c>
      <c r="C8" s="30" t="s">
        <v>305</v>
      </c>
      <c r="D8" s="30" t="s">
        <v>371</v>
      </c>
      <c r="E8" s="30" t="str">
        <f>"0,6876"</f>
        <v>0,6876</v>
      </c>
      <c r="F8" s="30" t="s">
        <v>13</v>
      </c>
      <c r="G8" s="30" t="s">
        <v>24</v>
      </c>
      <c r="H8" s="79" t="s">
        <v>56</v>
      </c>
      <c r="I8" s="79" t="s">
        <v>120</v>
      </c>
      <c r="J8" s="79" t="s">
        <v>234</v>
      </c>
      <c r="K8" s="80"/>
      <c r="L8" s="92">
        <v>192.5</v>
      </c>
      <c r="M8" s="92" t="str">
        <f>"132,3630"</f>
        <v>132,3630</v>
      </c>
      <c r="N8" s="30" t="s">
        <v>134</v>
      </c>
    </row>
    <row r="9" spans="1:14">
      <c r="A9" s="62"/>
    </row>
    <row r="10" spans="1:14" ht="16">
      <c r="A10" s="62"/>
      <c r="B10" s="178" t="s">
        <v>62</v>
      </c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</row>
    <row r="11" spans="1:14">
      <c r="A11" s="82">
        <v>1</v>
      </c>
      <c r="B11" s="31" t="s">
        <v>306</v>
      </c>
      <c r="C11" s="31" t="s">
        <v>307</v>
      </c>
      <c r="D11" s="31" t="s">
        <v>372</v>
      </c>
      <c r="E11" s="31" t="str">
        <f>"0,5932"</f>
        <v>0,5932</v>
      </c>
      <c r="F11" s="31" t="s">
        <v>13</v>
      </c>
      <c r="G11" s="31" t="s">
        <v>163</v>
      </c>
      <c r="H11" s="65" t="s">
        <v>46</v>
      </c>
      <c r="I11" s="65" t="s">
        <v>121</v>
      </c>
      <c r="J11" s="65" t="s">
        <v>308</v>
      </c>
      <c r="K11" s="67"/>
      <c r="L11" s="93">
        <v>267.5</v>
      </c>
      <c r="M11" s="93" t="str">
        <f>"158,6810"</f>
        <v>158,6810</v>
      </c>
      <c r="N11" s="31" t="s">
        <v>351</v>
      </c>
    </row>
    <row r="12" spans="1:14">
      <c r="A12" s="62"/>
    </row>
    <row r="13" spans="1:14" ht="16">
      <c r="A13" s="62"/>
      <c r="B13" s="178" t="s">
        <v>309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4">
      <c r="A14" s="82">
        <v>1</v>
      </c>
      <c r="B14" s="31" t="s">
        <v>310</v>
      </c>
      <c r="C14" s="31" t="s">
        <v>311</v>
      </c>
      <c r="D14" s="31" t="s">
        <v>373</v>
      </c>
      <c r="E14" s="31" t="str">
        <f>"0,5673"</f>
        <v>0,5673</v>
      </c>
      <c r="F14" s="31" t="s">
        <v>13</v>
      </c>
      <c r="G14" s="31" t="s">
        <v>312</v>
      </c>
      <c r="H14" s="65" t="s">
        <v>313</v>
      </c>
      <c r="I14" s="65" t="s">
        <v>314</v>
      </c>
      <c r="J14" s="67"/>
      <c r="K14" s="67"/>
      <c r="L14" s="93" t="s">
        <v>314</v>
      </c>
      <c r="M14" s="93" t="str">
        <f>"170,1900"</f>
        <v>170,1900</v>
      </c>
      <c r="N14" s="31" t="s">
        <v>134</v>
      </c>
    </row>
    <row r="16" spans="1:14" ht="16">
      <c r="B16" s="37"/>
      <c r="C16" s="37"/>
      <c r="D16" s="37"/>
      <c r="E16" s="37"/>
      <c r="F16" s="43"/>
    </row>
    <row r="17" spans="2:6" ht="16">
      <c r="B17" s="37"/>
      <c r="C17" s="37"/>
      <c r="D17" s="37"/>
      <c r="E17" s="37"/>
      <c r="F17" s="43"/>
    </row>
    <row r="18" spans="2:6" ht="16">
      <c r="B18" s="37"/>
      <c r="C18" s="37"/>
      <c r="D18" s="37"/>
      <c r="E18" s="37"/>
      <c r="F18" s="43"/>
    </row>
    <row r="19" spans="2:6" ht="16">
      <c r="B19" s="37"/>
      <c r="C19" s="37"/>
      <c r="D19" s="37"/>
      <c r="E19" s="37"/>
      <c r="F19" s="43"/>
    </row>
    <row r="20" spans="2:6" ht="16">
      <c r="B20" s="37"/>
      <c r="C20" s="37"/>
      <c r="D20" s="37"/>
      <c r="E20" s="37"/>
      <c r="F20" s="43"/>
    </row>
    <row r="21" spans="2:6" ht="16">
      <c r="B21" s="37"/>
      <c r="C21" s="37"/>
      <c r="D21" s="37"/>
      <c r="E21" s="37"/>
      <c r="F21" s="43"/>
    </row>
    <row r="22" spans="2:6" ht="16">
      <c r="B22" s="37"/>
      <c r="C22" s="37"/>
      <c r="D22" s="37"/>
      <c r="E22" s="37"/>
      <c r="F22" s="43"/>
    </row>
    <row r="23" spans="2:6">
      <c r="B23" s="37"/>
      <c r="C23" s="37"/>
      <c r="D23" s="37"/>
      <c r="E23" s="37"/>
      <c r="F23" s="37"/>
    </row>
    <row r="24" spans="2:6" ht="18">
      <c r="B24" s="44"/>
      <c r="C24" s="44"/>
      <c r="D24" s="37"/>
      <c r="E24" s="37"/>
      <c r="F24" s="37"/>
    </row>
    <row r="25" spans="2:6" ht="16">
      <c r="B25" s="45"/>
      <c r="C25" s="45"/>
      <c r="D25" s="37"/>
      <c r="E25" s="37"/>
      <c r="F25" s="37"/>
    </row>
    <row r="26" spans="2:6" ht="14">
      <c r="B26" s="46"/>
      <c r="C26" s="47"/>
      <c r="D26" s="37"/>
      <c r="E26" s="37"/>
      <c r="F26" s="37"/>
    </row>
    <row r="27" spans="2:6" ht="14">
      <c r="B27" s="48"/>
      <c r="C27" s="48"/>
      <c r="D27" s="48"/>
      <c r="E27" s="48"/>
      <c r="F27" s="48"/>
    </row>
    <row r="28" spans="2:6">
      <c r="B28" s="49"/>
      <c r="C28" s="37"/>
      <c r="D28" s="37"/>
      <c r="E28" s="37"/>
      <c r="F28" s="50"/>
    </row>
    <row r="29" spans="2:6">
      <c r="B29" s="49"/>
      <c r="C29" s="37"/>
      <c r="D29" s="37"/>
      <c r="E29" s="37"/>
      <c r="F29" s="50"/>
    </row>
    <row r="30" spans="2:6">
      <c r="B30" s="49"/>
      <c r="C30" s="37"/>
      <c r="D30" s="37"/>
      <c r="E30" s="37"/>
      <c r="F30" s="50"/>
    </row>
    <row r="31" spans="2:6">
      <c r="B31" s="49"/>
      <c r="C31" s="37"/>
      <c r="D31" s="37"/>
      <c r="E31" s="37"/>
      <c r="F31" s="50"/>
    </row>
    <row r="32" spans="2:6">
      <c r="B32" s="37"/>
      <c r="C32" s="37"/>
      <c r="D32" s="37"/>
      <c r="E32" s="37"/>
      <c r="F32" s="37"/>
    </row>
    <row r="33" spans="2:6">
      <c r="B33" s="37"/>
      <c r="C33" s="37"/>
      <c r="D33" s="37"/>
      <c r="E33" s="37"/>
      <c r="F33" s="37"/>
    </row>
    <row r="34" spans="2:6">
      <c r="B34" s="37"/>
      <c r="C34" s="37"/>
      <c r="D34" s="37"/>
      <c r="E34" s="37"/>
      <c r="F34" s="37"/>
    </row>
    <row r="35" spans="2:6">
      <c r="B35" s="37"/>
      <c r="C35" s="37"/>
      <c r="D35" s="37"/>
      <c r="E35" s="37"/>
      <c r="F35" s="37"/>
    </row>
  </sheetData>
  <mergeCells count="15">
    <mergeCell ref="A1:N2"/>
    <mergeCell ref="B10:M10"/>
    <mergeCell ref="B13:M13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  <mergeCell ref="B5:M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J19" sqref="J19"/>
    </sheetView>
  </sheetViews>
  <sheetFormatPr baseColWidth="10" defaultColWidth="8.7109375" defaultRowHeight="13" x14ac:dyDescent="0"/>
  <cols>
    <col min="2" max="2" width="26" style="88" bestFit="1" customWidth="1"/>
    <col min="3" max="3" width="22.85546875" style="88" bestFit="1" customWidth="1"/>
    <col min="4" max="4" width="17" style="88" customWidth="1"/>
    <col min="5" max="5" width="8.42578125" style="88" bestFit="1" customWidth="1"/>
    <col min="6" max="6" width="22.7109375" style="22" bestFit="1" customWidth="1"/>
    <col min="7" max="7" width="26" style="22" bestFit="1" customWidth="1"/>
    <col min="8" max="10" width="5.5703125" style="22" customWidth="1"/>
    <col min="11" max="11" width="4.5703125" style="22" customWidth="1"/>
    <col min="12" max="12" width="7.85546875" style="22" bestFit="1" customWidth="1"/>
    <col min="13" max="13" width="8.5703125" style="22" bestFit="1" customWidth="1"/>
    <col min="14" max="14" width="10.42578125" style="22" bestFit="1" customWidth="1"/>
  </cols>
  <sheetData>
    <row r="1" spans="1:14" s="1" customFormat="1" ht="69" customHeight="1">
      <c r="A1" s="183" t="s">
        <v>584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69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79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3</v>
      </c>
      <c r="I3" s="181"/>
      <c r="J3" s="181"/>
      <c r="K3" s="181"/>
      <c r="L3" s="181" t="s">
        <v>344</v>
      </c>
      <c r="M3" s="181" t="s">
        <v>6</v>
      </c>
      <c r="N3" s="185" t="s">
        <v>5</v>
      </c>
    </row>
    <row r="4" spans="1:14" s="2" customFormat="1" ht="21" customHeight="1" thickBot="1">
      <c r="A4" s="180"/>
      <c r="B4" s="189"/>
      <c r="C4" s="190"/>
      <c r="D4" s="190"/>
      <c r="E4" s="182"/>
      <c r="F4" s="182"/>
      <c r="G4" s="182"/>
      <c r="H4" s="5">
        <v>1</v>
      </c>
      <c r="I4" s="5">
        <v>2</v>
      </c>
      <c r="J4" s="5">
        <v>3</v>
      </c>
      <c r="K4" s="5" t="s">
        <v>8</v>
      </c>
      <c r="L4" s="182"/>
      <c r="M4" s="182"/>
      <c r="N4" s="186"/>
    </row>
    <row r="5" spans="1:14" ht="16">
      <c r="B5" s="187" t="s">
        <v>93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82">
        <v>1</v>
      </c>
      <c r="B6" s="83" t="s">
        <v>94</v>
      </c>
      <c r="C6" s="83" t="s">
        <v>95</v>
      </c>
      <c r="D6" s="83" t="s">
        <v>368</v>
      </c>
      <c r="E6" s="83" t="str">
        <f>"1,0351"</f>
        <v>1,0351</v>
      </c>
      <c r="F6" s="83" t="s">
        <v>13</v>
      </c>
      <c r="G6" s="31" t="s">
        <v>24</v>
      </c>
      <c r="H6" s="65" t="s">
        <v>48</v>
      </c>
      <c r="I6" s="32"/>
      <c r="J6" s="32"/>
      <c r="K6" s="32"/>
      <c r="L6" s="68" t="s">
        <v>48</v>
      </c>
      <c r="M6" s="31" t="str">
        <f>"144,9140"</f>
        <v>144,9140</v>
      </c>
      <c r="N6" s="31" t="s">
        <v>100</v>
      </c>
    </row>
    <row r="8" spans="1:14" ht="16">
      <c r="B8" s="84"/>
      <c r="C8" s="84"/>
      <c r="D8" s="84"/>
      <c r="E8" s="84"/>
      <c r="F8" s="43"/>
      <c r="G8" s="37"/>
    </row>
    <row r="9" spans="1:14" ht="16">
      <c r="B9" s="84"/>
      <c r="C9" s="84"/>
      <c r="D9" s="84"/>
      <c r="E9" s="84"/>
      <c r="F9" s="43"/>
      <c r="G9" s="37"/>
    </row>
    <row r="10" spans="1:14" ht="16">
      <c r="B10" s="84"/>
      <c r="C10" s="84"/>
      <c r="D10" s="84"/>
      <c r="E10" s="84"/>
      <c r="F10" s="43"/>
      <c r="G10" s="37"/>
    </row>
    <row r="11" spans="1:14" ht="16">
      <c r="B11" s="84"/>
      <c r="C11" s="84"/>
      <c r="D11" s="84"/>
      <c r="E11" s="84"/>
      <c r="F11" s="43"/>
      <c r="G11" s="37"/>
    </row>
    <row r="12" spans="1:14" ht="16">
      <c r="B12" s="84"/>
      <c r="C12" s="84"/>
      <c r="D12" s="84"/>
      <c r="E12" s="84"/>
      <c r="F12" s="43"/>
      <c r="G12" s="37"/>
    </row>
    <row r="13" spans="1:14" ht="16">
      <c r="B13" s="84"/>
      <c r="C13" s="84"/>
      <c r="D13" s="84"/>
      <c r="E13" s="84"/>
      <c r="F13" s="43"/>
      <c r="G13" s="37"/>
    </row>
    <row r="14" spans="1:14" ht="16">
      <c r="B14" s="84"/>
      <c r="C14" s="84"/>
      <c r="D14" s="84"/>
      <c r="E14" s="84"/>
      <c r="F14" s="43"/>
      <c r="G14" s="37"/>
    </row>
    <row r="15" spans="1:14">
      <c r="B15" s="84"/>
      <c r="C15" s="84"/>
      <c r="D15" s="84"/>
      <c r="E15" s="84"/>
      <c r="F15" s="37"/>
      <c r="G15" s="37"/>
    </row>
    <row r="16" spans="1:14" ht="18">
      <c r="B16" s="85"/>
      <c r="C16" s="85"/>
      <c r="D16" s="84"/>
      <c r="E16" s="84"/>
      <c r="F16" s="37"/>
      <c r="G16" s="37"/>
    </row>
    <row r="17" spans="2:7" ht="16">
      <c r="B17" s="86"/>
      <c r="C17" s="86"/>
      <c r="D17" s="84"/>
      <c r="E17" s="84"/>
      <c r="F17" s="37"/>
      <c r="G17" s="37"/>
    </row>
    <row r="18" spans="2:7" ht="14">
      <c r="B18" s="87"/>
      <c r="C18" s="87"/>
      <c r="D18" s="84"/>
      <c r="E18" s="84"/>
      <c r="F18" s="37"/>
      <c r="G18" s="37"/>
    </row>
    <row r="19" spans="2:7" ht="14">
      <c r="B19" s="48"/>
      <c r="C19" s="48"/>
      <c r="D19" s="48"/>
      <c r="E19" s="48"/>
      <c r="F19" s="48"/>
      <c r="G19" s="37"/>
    </row>
    <row r="20" spans="2:7">
      <c r="B20" s="84"/>
      <c r="C20" s="84"/>
      <c r="D20" s="84"/>
      <c r="E20" s="84"/>
      <c r="F20" s="50"/>
      <c r="G20" s="37"/>
    </row>
    <row r="21" spans="2:7">
      <c r="B21" s="84"/>
      <c r="C21" s="84"/>
      <c r="D21" s="84"/>
      <c r="E21" s="84"/>
      <c r="F21" s="37"/>
      <c r="G21" s="37"/>
    </row>
    <row r="22" spans="2:7">
      <c r="B22" s="84"/>
      <c r="C22" s="84"/>
      <c r="D22" s="84"/>
      <c r="E22" s="84"/>
      <c r="F22" s="37"/>
      <c r="G22" s="37"/>
    </row>
    <row r="23" spans="2:7">
      <c r="B23" s="84"/>
      <c r="C23" s="84"/>
      <c r="D23" s="84"/>
      <c r="E23" s="84"/>
      <c r="F23" s="37"/>
      <c r="G23" s="37"/>
    </row>
    <row r="24" spans="2:7">
      <c r="B24" s="84"/>
      <c r="C24" s="84"/>
      <c r="D24" s="84"/>
      <c r="E24" s="84"/>
      <c r="F24" s="37"/>
      <c r="G24" s="37"/>
    </row>
    <row r="25" spans="2:7">
      <c r="B25" s="84"/>
      <c r="C25" s="84"/>
      <c r="D25" s="84"/>
      <c r="E25" s="84"/>
      <c r="F25" s="37"/>
      <c r="G25" s="37"/>
    </row>
    <row r="26" spans="2:7">
      <c r="B26" s="84"/>
      <c r="C26" s="84"/>
      <c r="D26" s="84"/>
      <c r="E26" s="84"/>
      <c r="F26" s="37"/>
      <c r="G26" s="37"/>
    </row>
  </sheetData>
  <mergeCells count="13">
    <mergeCell ref="A1:N2"/>
    <mergeCell ref="B5:M5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9"/>
  <sheetViews>
    <sheetView workbookViewId="0">
      <selection activeCell="G32" sqref="G32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2.85546875" style="22" bestFit="1" customWidth="1"/>
    <col min="4" max="4" width="15.5703125" style="22" customWidth="1"/>
    <col min="5" max="5" width="8.42578125" style="22" bestFit="1" customWidth="1"/>
    <col min="6" max="6" width="22.7109375" style="22" bestFit="1" customWidth="1"/>
    <col min="7" max="7" width="29" style="22" bestFit="1" customWidth="1"/>
    <col min="8" max="10" width="5.5703125" style="22" bestFit="1" customWidth="1"/>
    <col min="11" max="11" width="4.5703125" style="22" bestFit="1" customWidth="1"/>
    <col min="12" max="12" width="7.85546875" style="22" bestFit="1" customWidth="1"/>
    <col min="13" max="13" width="8.5703125" style="22" bestFit="1" customWidth="1"/>
    <col min="14" max="14" width="20.140625" style="22" bestFit="1" customWidth="1"/>
  </cols>
  <sheetData>
    <row r="1" spans="1:14" s="1" customFormat="1" ht="15" customHeight="1">
      <c r="A1" s="183" t="s">
        <v>596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111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461</v>
      </c>
      <c r="F3" s="181" t="s">
        <v>7</v>
      </c>
      <c r="G3" s="181" t="s">
        <v>343</v>
      </c>
      <c r="H3" s="181" t="s">
        <v>2</v>
      </c>
      <c r="I3" s="181"/>
      <c r="J3" s="181"/>
      <c r="K3" s="181"/>
      <c r="L3" s="181" t="s">
        <v>4</v>
      </c>
      <c r="M3" s="181" t="s">
        <v>6</v>
      </c>
      <c r="N3" s="193" t="s">
        <v>5</v>
      </c>
    </row>
    <row r="4" spans="1:14" s="2" customFormat="1" ht="21" customHeight="1" thickBot="1">
      <c r="A4" s="192"/>
      <c r="B4" s="189"/>
      <c r="C4" s="190"/>
      <c r="D4" s="190"/>
      <c r="E4" s="182"/>
      <c r="F4" s="182"/>
      <c r="G4" s="182"/>
      <c r="H4" s="131">
        <v>1</v>
      </c>
      <c r="I4" s="131">
        <v>2</v>
      </c>
      <c r="J4" s="131">
        <v>3</v>
      </c>
      <c r="K4" s="131" t="s">
        <v>8</v>
      </c>
      <c r="L4" s="182"/>
      <c r="M4" s="182"/>
      <c r="N4" s="194"/>
    </row>
    <row r="5" spans="1:14" ht="16">
      <c r="B5" s="187" t="s">
        <v>174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82">
        <v>1</v>
      </c>
      <c r="B6" s="31" t="s">
        <v>464</v>
      </c>
      <c r="C6" s="31" t="s">
        <v>465</v>
      </c>
      <c r="D6" s="31" t="s">
        <v>399</v>
      </c>
      <c r="E6" s="31" t="str">
        <f>"1,1264"</f>
        <v>1,1264</v>
      </c>
      <c r="F6" s="31" t="s">
        <v>80</v>
      </c>
      <c r="G6" s="31" t="s">
        <v>81</v>
      </c>
      <c r="H6" s="132" t="s">
        <v>27</v>
      </c>
      <c r="I6" s="133" t="s">
        <v>97</v>
      </c>
      <c r="J6" s="132" t="s">
        <v>25</v>
      </c>
      <c r="K6" s="32"/>
      <c r="L6" s="31" t="s">
        <v>97</v>
      </c>
      <c r="M6" s="31" t="str">
        <f>"78,8480"</f>
        <v>78,8480</v>
      </c>
      <c r="N6" s="31" t="s">
        <v>345</v>
      </c>
    </row>
    <row r="8" spans="1:14" ht="16">
      <c r="B8" s="178" t="s">
        <v>10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4">
      <c r="A9" s="82">
        <v>1</v>
      </c>
      <c r="B9" s="31" t="s">
        <v>466</v>
      </c>
      <c r="C9" s="31" t="s">
        <v>467</v>
      </c>
      <c r="D9" s="31" t="s">
        <v>355</v>
      </c>
      <c r="E9" s="31" t="str">
        <f>"1,0780"</f>
        <v>1,0780</v>
      </c>
      <c r="F9" s="31" t="s">
        <v>13</v>
      </c>
      <c r="G9" s="31" t="s">
        <v>24</v>
      </c>
      <c r="H9" s="132" t="s">
        <v>25</v>
      </c>
      <c r="I9" s="132" t="s">
        <v>25</v>
      </c>
      <c r="J9" s="133" t="s">
        <v>25</v>
      </c>
      <c r="K9" s="32"/>
      <c r="L9" s="31" t="s">
        <v>25</v>
      </c>
      <c r="M9" s="31" t="str">
        <f>"86,2400"</f>
        <v>86,2400</v>
      </c>
      <c r="N9" s="31" t="s">
        <v>468</v>
      </c>
    </row>
    <row r="11" spans="1:14" ht="16">
      <c r="B11" s="178" t="s">
        <v>29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1:14">
      <c r="A12" s="82">
        <v>1</v>
      </c>
      <c r="B12" s="31" t="s">
        <v>469</v>
      </c>
      <c r="C12" s="31" t="s">
        <v>470</v>
      </c>
      <c r="D12" s="31" t="s">
        <v>471</v>
      </c>
      <c r="E12" s="31" t="str">
        <f>"0,6975"</f>
        <v>0,6975</v>
      </c>
      <c r="F12" s="31" t="s">
        <v>80</v>
      </c>
      <c r="G12" s="31" t="s">
        <v>81</v>
      </c>
      <c r="H12" s="133" t="s">
        <v>56</v>
      </c>
      <c r="I12" s="133" t="s">
        <v>60</v>
      </c>
      <c r="J12" s="132" t="s">
        <v>329</v>
      </c>
      <c r="K12" s="32"/>
      <c r="L12" s="31" t="s">
        <v>60</v>
      </c>
      <c r="M12" s="31" t="str">
        <f>"118,5835"</f>
        <v>118,5835</v>
      </c>
      <c r="N12" s="31" t="s">
        <v>345</v>
      </c>
    </row>
    <row r="14" spans="1:14" ht="16">
      <c r="B14" s="178" t="s">
        <v>165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1:14">
      <c r="A15" s="97">
        <v>1</v>
      </c>
      <c r="B15" s="29" t="s">
        <v>267</v>
      </c>
      <c r="C15" s="29" t="s">
        <v>268</v>
      </c>
      <c r="D15" s="29" t="s">
        <v>383</v>
      </c>
      <c r="E15" s="29" t="str">
        <f>"0,6467"</f>
        <v>0,6467</v>
      </c>
      <c r="F15" s="29" t="s">
        <v>13</v>
      </c>
      <c r="G15" s="29" t="s">
        <v>24</v>
      </c>
      <c r="H15" s="134" t="s">
        <v>92</v>
      </c>
      <c r="I15" s="134" t="s">
        <v>33</v>
      </c>
      <c r="J15" s="135" t="s">
        <v>45</v>
      </c>
      <c r="K15" s="136"/>
      <c r="L15" s="29" t="s">
        <v>33</v>
      </c>
      <c r="M15" s="29" t="str">
        <f>"129,3300"</f>
        <v>129,3300</v>
      </c>
      <c r="N15" s="29" t="s">
        <v>134</v>
      </c>
    </row>
    <row r="16" spans="1:14">
      <c r="A16" s="99">
        <v>2</v>
      </c>
      <c r="B16" s="30" t="s">
        <v>472</v>
      </c>
      <c r="C16" s="30" t="s">
        <v>473</v>
      </c>
      <c r="D16" s="30" t="s">
        <v>474</v>
      </c>
      <c r="E16" s="30" t="str">
        <f>"0,6768"</f>
        <v>0,6768</v>
      </c>
      <c r="F16" s="30" t="s">
        <v>13</v>
      </c>
      <c r="G16" s="30" t="s">
        <v>597</v>
      </c>
      <c r="H16" s="137" t="s">
        <v>49</v>
      </c>
      <c r="I16" s="137" t="s">
        <v>56</v>
      </c>
      <c r="J16" s="138" t="s">
        <v>82</v>
      </c>
      <c r="K16" s="139"/>
      <c r="L16" s="30" t="s">
        <v>56</v>
      </c>
      <c r="M16" s="30" t="str">
        <f>"108,2800"</f>
        <v>108,2800</v>
      </c>
      <c r="N16" s="30" t="s">
        <v>475</v>
      </c>
    </row>
    <row r="18" spans="1:14" ht="16">
      <c r="B18" s="178" t="s">
        <v>113</v>
      </c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</row>
    <row r="19" spans="1:14">
      <c r="A19" s="82">
        <v>1</v>
      </c>
      <c r="B19" s="31" t="s">
        <v>476</v>
      </c>
      <c r="C19" s="31" t="s">
        <v>477</v>
      </c>
      <c r="D19" s="31" t="s">
        <v>478</v>
      </c>
      <c r="E19" s="31" t="str">
        <f>"0,5853"</f>
        <v>0,5853</v>
      </c>
      <c r="F19" s="31" t="s">
        <v>80</v>
      </c>
      <c r="G19" s="31" t="s">
        <v>81</v>
      </c>
      <c r="H19" s="133" t="s">
        <v>47</v>
      </c>
      <c r="I19" s="133" t="s">
        <v>479</v>
      </c>
      <c r="J19" s="132" t="s">
        <v>313</v>
      </c>
      <c r="K19" s="32"/>
      <c r="L19" s="31" t="s">
        <v>479</v>
      </c>
      <c r="M19" s="31" t="str">
        <f>"158,0445"</f>
        <v>158,0445</v>
      </c>
      <c r="N19" s="31" t="s">
        <v>345</v>
      </c>
    </row>
    <row r="21" spans="1:14" ht="16">
      <c r="B21" s="178" t="s">
        <v>62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4">
      <c r="A22" s="82">
        <v>1</v>
      </c>
      <c r="B22" s="31" t="s">
        <v>480</v>
      </c>
      <c r="C22" s="31" t="s">
        <v>481</v>
      </c>
      <c r="D22" s="31" t="s">
        <v>482</v>
      </c>
      <c r="E22" s="31" t="str">
        <f>"0,5767"</f>
        <v>0,5767</v>
      </c>
      <c r="F22" s="31" t="s">
        <v>168</v>
      </c>
      <c r="G22" s="31" t="s">
        <v>24</v>
      </c>
      <c r="H22" s="133" t="s">
        <v>51</v>
      </c>
      <c r="I22" s="132" t="s">
        <v>47</v>
      </c>
      <c r="J22" s="132" t="s">
        <v>47</v>
      </c>
      <c r="K22" s="32"/>
      <c r="L22" s="31" t="s">
        <v>51</v>
      </c>
      <c r="M22" s="31" t="str">
        <f>"138,4080"</f>
        <v>138,4080</v>
      </c>
      <c r="N22" s="31" t="s">
        <v>483</v>
      </c>
    </row>
    <row r="24" spans="1:14" ht="16">
      <c r="B24" s="178" t="s">
        <v>309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</row>
    <row r="25" spans="1:14">
      <c r="A25" s="82">
        <v>1</v>
      </c>
      <c r="B25" s="31" t="s">
        <v>337</v>
      </c>
      <c r="C25" s="31" t="s">
        <v>338</v>
      </c>
      <c r="D25" s="31" t="s">
        <v>365</v>
      </c>
      <c r="E25" s="31" t="str">
        <f>"0,5338"</f>
        <v>0,5338</v>
      </c>
      <c r="F25" s="31" t="s">
        <v>13</v>
      </c>
      <c r="G25" s="31" t="s">
        <v>614</v>
      </c>
      <c r="H25" s="133" t="s">
        <v>47</v>
      </c>
      <c r="I25" s="133" t="s">
        <v>53</v>
      </c>
      <c r="J25" s="133" t="s">
        <v>479</v>
      </c>
      <c r="K25" s="32"/>
      <c r="L25" s="31" t="s">
        <v>479</v>
      </c>
      <c r="M25" s="31" t="str">
        <f>"144,1327"</f>
        <v>144,1327</v>
      </c>
      <c r="N25" s="31" t="s">
        <v>353</v>
      </c>
    </row>
    <row r="27" spans="1:14" ht="16">
      <c r="B27" s="37"/>
      <c r="C27" s="37"/>
      <c r="D27" s="37"/>
      <c r="E27" s="37"/>
      <c r="F27" s="43"/>
    </row>
    <row r="28" spans="1:14" ht="16">
      <c r="B28" s="37"/>
      <c r="C28" s="37"/>
      <c r="D28" s="37"/>
      <c r="E28" s="37"/>
      <c r="F28" s="43"/>
    </row>
    <row r="29" spans="1:14" ht="16">
      <c r="B29" s="37"/>
      <c r="C29" s="37"/>
      <c r="D29" s="37"/>
      <c r="E29" s="37"/>
      <c r="F29" s="43"/>
    </row>
    <row r="30" spans="1:14" ht="16">
      <c r="B30" s="37"/>
      <c r="C30" s="37"/>
      <c r="D30" s="37"/>
      <c r="E30" s="37"/>
      <c r="F30" s="43"/>
    </row>
    <row r="31" spans="1:14" ht="16">
      <c r="B31" s="37"/>
      <c r="C31" s="37"/>
      <c r="D31" s="37"/>
      <c r="E31" s="37"/>
      <c r="F31" s="43"/>
    </row>
    <row r="32" spans="1:14" ht="16">
      <c r="B32" s="37"/>
      <c r="C32" s="37"/>
      <c r="D32" s="37"/>
      <c r="E32" s="37"/>
      <c r="F32" s="43"/>
    </row>
    <row r="33" spans="2:6" ht="16">
      <c r="B33" s="37"/>
      <c r="C33" s="37"/>
      <c r="D33" s="37"/>
      <c r="E33" s="37"/>
      <c r="F33" s="43"/>
    </row>
    <row r="34" spans="2:6">
      <c r="B34" s="37"/>
      <c r="C34" s="37"/>
      <c r="D34" s="37"/>
      <c r="E34" s="37"/>
      <c r="F34" s="37"/>
    </row>
    <row r="35" spans="2:6" ht="18">
      <c r="B35" s="44"/>
      <c r="C35" s="44"/>
      <c r="D35" s="37"/>
      <c r="E35" s="37"/>
      <c r="F35" s="37"/>
    </row>
    <row r="36" spans="2:6" ht="16">
      <c r="B36" s="45"/>
      <c r="C36" s="45"/>
      <c r="D36" s="37"/>
      <c r="E36" s="37"/>
      <c r="F36" s="37"/>
    </row>
    <row r="37" spans="2:6" ht="14">
      <c r="B37" s="46"/>
      <c r="C37" s="47"/>
      <c r="D37" s="37"/>
      <c r="E37" s="37"/>
      <c r="F37" s="37"/>
    </row>
    <row r="38" spans="2:6" ht="14">
      <c r="B38" s="48"/>
      <c r="C38" s="48"/>
      <c r="D38" s="48"/>
      <c r="E38" s="48"/>
      <c r="F38" s="48"/>
    </row>
    <row r="39" spans="2:6">
      <c r="B39" s="49"/>
      <c r="C39" s="37"/>
      <c r="D39" s="37"/>
      <c r="E39" s="37"/>
      <c r="F39" s="50"/>
    </row>
    <row r="40" spans="2:6">
      <c r="B40" s="49"/>
      <c r="C40" s="37"/>
      <c r="D40" s="37"/>
      <c r="E40" s="37"/>
      <c r="F40" s="50"/>
    </row>
    <row r="41" spans="2:6">
      <c r="B41" s="37"/>
      <c r="C41" s="37"/>
      <c r="D41" s="37"/>
      <c r="E41" s="37"/>
      <c r="F41" s="37"/>
    </row>
    <row r="42" spans="2:6">
      <c r="B42" s="37"/>
      <c r="C42" s="37"/>
      <c r="D42" s="37"/>
      <c r="E42" s="37"/>
      <c r="F42" s="37"/>
    </row>
    <row r="43" spans="2:6" ht="16">
      <c r="B43" s="45"/>
      <c r="C43" s="45"/>
      <c r="D43" s="37"/>
      <c r="E43" s="37"/>
      <c r="F43" s="37"/>
    </row>
    <row r="44" spans="2:6" ht="14">
      <c r="B44" s="46"/>
      <c r="C44" s="47"/>
      <c r="D44" s="37"/>
      <c r="E44" s="37"/>
      <c r="F44" s="37"/>
    </row>
    <row r="45" spans="2:6" ht="14">
      <c r="B45" s="48"/>
      <c r="C45" s="48"/>
      <c r="D45" s="48"/>
      <c r="E45" s="48"/>
      <c r="F45" s="48"/>
    </row>
    <row r="46" spans="2:6">
      <c r="B46" s="49"/>
      <c r="C46" s="37"/>
      <c r="D46" s="37"/>
      <c r="E46" s="37"/>
      <c r="F46" s="50"/>
    </row>
    <row r="47" spans="2:6">
      <c r="B47" s="49"/>
      <c r="C47" s="37"/>
      <c r="D47" s="37"/>
      <c r="E47" s="37"/>
      <c r="F47" s="50"/>
    </row>
    <row r="48" spans="2:6">
      <c r="B48" s="49"/>
      <c r="C48" s="37"/>
      <c r="D48" s="37"/>
      <c r="E48" s="37"/>
      <c r="F48" s="50"/>
    </row>
    <row r="49" spans="2:6">
      <c r="B49" s="49"/>
      <c r="C49" s="37"/>
      <c r="D49" s="37"/>
      <c r="E49" s="37"/>
      <c r="F49" s="50"/>
    </row>
    <row r="50" spans="2:6">
      <c r="B50" s="49"/>
      <c r="C50" s="37"/>
      <c r="D50" s="37"/>
      <c r="E50" s="37"/>
      <c r="F50" s="50"/>
    </row>
    <row r="51" spans="2:6">
      <c r="B51" s="49"/>
      <c r="C51" s="37"/>
      <c r="D51" s="37"/>
      <c r="E51" s="37"/>
      <c r="F51" s="50"/>
    </row>
    <row r="52" spans="2:6">
      <c r="B52" s="37"/>
      <c r="C52" s="37"/>
      <c r="D52" s="37"/>
      <c r="E52" s="37"/>
      <c r="F52" s="37"/>
    </row>
    <row r="53" spans="2:6">
      <c r="B53" s="37"/>
      <c r="C53" s="37"/>
      <c r="D53" s="37"/>
      <c r="E53" s="37"/>
      <c r="F53" s="37"/>
    </row>
    <row r="54" spans="2:6">
      <c r="B54" s="37"/>
      <c r="C54" s="37"/>
      <c r="D54" s="37"/>
      <c r="E54" s="37"/>
      <c r="F54" s="37"/>
    </row>
    <row r="55" spans="2:6">
      <c r="B55" s="37"/>
      <c r="C55" s="37"/>
      <c r="D55" s="37"/>
      <c r="E55" s="37"/>
      <c r="F55" s="37"/>
    </row>
    <row r="56" spans="2:6">
      <c r="B56" s="37"/>
      <c r="C56" s="37"/>
      <c r="D56" s="37"/>
      <c r="E56" s="37"/>
      <c r="F56" s="37"/>
    </row>
    <row r="57" spans="2:6">
      <c r="B57" s="37"/>
      <c r="C57" s="37"/>
      <c r="D57" s="37"/>
      <c r="E57" s="37"/>
      <c r="F57" s="37"/>
    </row>
    <row r="58" spans="2:6">
      <c r="B58" s="37"/>
      <c r="C58" s="37"/>
      <c r="D58" s="37"/>
      <c r="E58" s="37"/>
      <c r="F58" s="37"/>
    </row>
    <row r="59" spans="2:6">
      <c r="B59" s="37"/>
      <c r="C59" s="37"/>
      <c r="D59" s="37"/>
      <c r="E59" s="37"/>
      <c r="F59" s="37"/>
    </row>
    <row r="60" spans="2:6">
      <c r="B60" s="37"/>
      <c r="C60" s="37"/>
      <c r="D60" s="37"/>
      <c r="E60" s="37"/>
      <c r="F60" s="37"/>
    </row>
    <row r="61" spans="2:6">
      <c r="B61" s="37"/>
      <c r="C61" s="37"/>
      <c r="D61" s="37"/>
      <c r="E61" s="37"/>
      <c r="F61" s="37"/>
    </row>
    <row r="62" spans="2:6">
      <c r="B62" s="37"/>
      <c r="C62" s="37"/>
      <c r="D62" s="37"/>
      <c r="E62" s="37"/>
      <c r="F62" s="37"/>
    </row>
    <row r="63" spans="2:6">
      <c r="B63" s="37"/>
      <c r="C63" s="37"/>
      <c r="D63" s="37"/>
      <c r="E63" s="37"/>
      <c r="F63" s="37"/>
    </row>
    <row r="64" spans="2:6">
      <c r="B64" s="37"/>
      <c r="C64" s="37"/>
      <c r="D64" s="37"/>
      <c r="E64" s="37"/>
      <c r="F64" s="37"/>
    </row>
    <row r="65" spans="2:6">
      <c r="B65" s="37"/>
      <c r="C65" s="37"/>
      <c r="D65" s="37"/>
      <c r="E65" s="37"/>
      <c r="F65" s="37"/>
    </row>
    <row r="66" spans="2:6">
      <c r="B66" s="37"/>
      <c r="C66" s="37"/>
      <c r="D66" s="37"/>
      <c r="E66" s="37"/>
      <c r="F66" s="37"/>
    </row>
    <row r="67" spans="2:6">
      <c r="B67" s="37"/>
      <c r="C67" s="37"/>
      <c r="D67" s="37"/>
      <c r="E67" s="37"/>
      <c r="F67" s="37"/>
    </row>
    <row r="68" spans="2:6">
      <c r="B68" s="37"/>
      <c r="C68" s="37"/>
      <c r="D68" s="37"/>
      <c r="E68" s="37"/>
      <c r="F68" s="37"/>
    </row>
    <row r="69" spans="2:6">
      <c r="B69" s="37"/>
      <c r="C69" s="37"/>
      <c r="D69" s="37"/>
      <c r="E69" s="37"/>
      <c r="F69" s="37"/>
    </row>
    <row r="70" spans="2:6">
      <c r="B70" s="37"/>
      <c r="C70" s="37"/>
      <c r="D70" s="37"/>
      <c r="E70" s="37"/>
      <c r="F70" s="37"/>
    </row>
    <row r="71" spans="2:6">
      <c r="B71" s="37"/>
      <c r="C71" s="37"/>
      <c r="D71" s="37"/>
      <c r="E71" s="37"/>
      <c r="F71" s="37"/>
    </row>
    <row r="72" spans="2:6">
      <c r="B72" s="37"/>
      <c r="C72" s="37"/>
      <c r="D72" s="37"/>
      <c r="E72" s="37"/>
      <c r="F72" s="37"/>
    </row>
    <row r="73" spans="2:6">
      <c r="B73" s="37"/>
      <c r="C73" s="37"/>
      <c r="D73" s="37"/>
      <c r="E73" s="37"/>
      <c r="F73" s="37"/>
    </row>
    <row r="74" spans="2:6">
      <c r="B74" s="37"/>
      <c r="C74" s="37"/>
      <c r="D74" s="37"/>
      <c r="E74" s="37"/>
      <c r="F74" s="37"/>
    </row>
    <row r="75" spans="2:6">
      <c r="B75" s="37"/>
      <c r="C75" s="37"/>
      <c r="D75" s="37"/>
      <c r="E75" s="37"/>
      <c r="F75" s="37"/>
    </row>
    <row r="76" spans="2:6">
      <c r="B76" s="37"/>
      <c r="C76" s="37"/>
      <c r="D76" s="37"/>
      <c r="E76" s="37"/>
      <c r="F76" s="37"/>
    </row>
    <row r="77" spans="2:6">
      <c r="B77" s="37"/>
      <c r="C77" s="37"/>
      <c r="D77" s="37"/>
      <c r="E77" s="37"/>
      <c r="F77" s="37"/>
    </row>
    <row r="78" spans="2:6">
      <c r="B78" s="37"/>
      <c r="C78" s="37"/>
      <c r="D78" s="37"/>
      <c r="E78" s="37"/>
      <c r="F78" s="37"/>
    </row>
    <row r="79" spans="2:6">
      <c r="B79" s="37"/>
      <c r="C79" s="37"/>
      <c r="D79" s="37"/>
      <c r="E79" s="37"/>
      <c r="F79" s="37"/>
    </row>
    <row r="80" spans="2:6">
      <c r="B80" s="37"/>
      <c r="C80" s="37"/>
      <c r="D80" s="37"/>
      <c r="E80" s="37"/>
      <c r="F80" s="37"/>
    </row>
    <row r="81" spans="2:6">
      <c r="B81" s="37"/>
      <c r="C81" s="37"/>
      <c r="D81" s="37"/>
      <c r="E81" s="37"/>
      <c r="F81" s="37"/>
    </row>
    <row r="82" spans="2:6">
      <c r="B82" s="37"/>
      <c r="C82" s="37"/>
      <c r="D82" s="37"/>
      <c r="E82" s="37"/>
      <c r="F82" s="37"/>
    </row>
    <row r="83" spans="2:6">
      <c r="B83" s="37"/>
      <c r="C83" s="37"/>
      <c r="D83" s="37"/>
      <c r="E83" s="37"/>
      <c r="F83" s="37"/>
    </row>
    <row r="84" spans="2:6">
      <c r="B84" s="37"/>
      <c r="C84" s="37"/>
      <c r="D84" s="37"/>
      <c r="E84" s="37"/>
      <c r="F84" s="37"/>
    </row>
    <row r="85" spans="2:6">
      <c r="B85" s="37"/>
      <c r="C85" s="37"/>
      <c r="D85" s="37"/>
      <c r="E85" s="37"/>
      <c r="F85" s="37"/>
    </row>
    <row r="86" spans="2:6">
      <c r="B86" s="37"/>
      <c r="C86" s="37"/>
      <c r="D86" s="37"/>
      <c r="E86" s="37"/>
      <c r="F86" s="37"/>
    </row>
    <row r="87" spans="2:6">
      <c r="B87" s="37"/>
      <c r="C87" s="37"/>
      <c r="D87" s="37"/>
      <c r="E87" s="37"/>
      <c r="F87" s="37"/>
    </row>
    <row r="88" spans="2:6">
      <c r="B88" s="37"/>
      <c r="C88" s="37"/>
      <c r="D88" s="37"/>
      <c r="E88" s="37"/>
      <c r="F88" s="37"/>
    </row>
    <row r="89" spans="2:6">
      <c r="B89" s="37"/>
      <c r="C89" s="37"/>
      <c r="D89" s="37"/>
      <c r="E89" s="37"/>
      <c r="F89" s="37"/>
    </row>
    <row r="90" spans="2:6">
      <c r="B90" s="37"/>
      <c r="C90" s="37"/>
      <c r="D90" s="37"/>
      <c r="E90" s="37"/>
      <c r="F90" s="37"/>
    </row>
    <row r="91" spans="2:6">
      <c r="B91" s="37"/>
      <c r="C91" s="37"/>
      <c r="D91" s="37"/>
      <c r="E91" s="37"/>
      <c r="F91" s="37"/>
    </row>
    <row r="92" spans="2:6">
      <c r="B92" s="37"/>
      <c r="C92" s="37"/>
      <c r="D92" s="37"/>
      <c r="E92" s="37"/>
      <c r="F92" s="37"/>
    </row>
    <row r="93" spans="2:6">
      <c r="B93" s="37"/>
      <c r="C93" s="37"/>
      <c r="D93" s="37"/>
      <c r="E93" s="37"/>
      <c r="F93" s="37"/>
    </row>
    <row r="94" spans="2:6">
      <c r="B94" s="37"/>
      <c r="C94" s="37"/>
      <c r="D94" s="37"/>
      <c r="E94" s="37"/>
      <c r="F94" s="37"/>
    </row>
    <row r="95" spans="2:6">
      <c r="B95" s="37"/>
      <c r="C95" s="37"/>
      <c r="D95" s="37"/>
      <c r="E95" s="37"/>
      <c r="F95" s="37"/>
    </row>
    <row r="96" spans="2:6">
      <c r="B96" s="37"/>
      <c r="C96" s="37"/>
      <c r="D96" s="37"/>
      <c r="E96" s="37"/>
      <c r="F96" s="37"/>
    </row>
    <row r="97" spans="2:6">
      <c r="B97" s="37"/>
      <c r="C97" s="37"/>
      <c r="D97" s="37"/>
      <c r="E97" s="37"/>
      <c r="F97" s="37"/>
    </row>
    <row r="98" spans="2:6">
      <c r="B98" s="37"/>
      <c r="C98" s="37"/>
      <c r="D98" s="37"/>
      <c r="E98" s="37"/>
      <c r="F98" s="37"/>
    </row>
    <row r="99" spans="2:6">
      <c r="B99" s="37"/>
      <c r="C99" s="37"/>
      <c r="D99" s="37"/>
      <c r="E99" s="37"/>
      <c r="F99" s="37"/>
    </row>
    <row r="100" spans="2:6">
      <c r="B100" s="37"/>
      <c r="C100" s="37"/>
      <c r="D100" s="37"/>
      <c r="E100" s="37"/>
      <c r="F100" s="37"/>
    </row>
    <row r="101" spans="2:6">
      <c r="B101" s="37"/>
      <c r="C101" s="37"/>
      <c r="D101" s="37"/>
      <c r="E101" s="37"/>
      <c r="F101" s="37"/>
    </row>
    <row r="102" spans="2:6">
      <c r="B102" s="37"/>
      <c r="C102" s="37"/>
      <c r="D102" s="37"/>
      <c r="E102" s="37"/>
      <c r="F102" s="37"/>
    </row>
    <row r="103" spans="2:6">
      <c r="B103" s="37"/>
      <c r="C103" s="37"/>
      <c r="D103" s="37"/>
      <c r="E103" s="37"/>
      <c r="F103" s="37"/>
    </row>
    <row r="104" spans="2:6">
      <c r="B104" s="37"/>
      <c r="C104" s="37"/>
      <c r="D104" s="37"/>
      <c r="E104" s="37"/>
      <c r="F104" s="37"/>
    </row>
    <row r="105" spans="2:6">
      <c r="B105" s="37"/>
      <c r="C105" s="37"/>
      <c r="D105" s="37"/>
      <c r="E105" s="37"/>
      <c r="F105" s="37"/>
    </row>
    <row r="106" spans="2:6">
      <c r="B106" s="37"/>
      <c r="C106" s="37"/>
      <c r="D106" s="37"/>
      <c r="E106" s="37"/>
      <c r="F106" s="37"/>
    </row>
    <row r="107" spans="2:6">
      <c r="B107" s="37"/>
      <c r="C107" s="37"/>
      <c r="D107" s="37"/>
      <c r="E107" s="37"/>
      <c r="F107" s="37"/>
    </row>
    <row r="108" spans="2:6">
      <c r="B108" s="37"/>
      <c r="C108" s="37"/>
      <c r="D108" s="37"/>
      <c r="E108" s="37"/>
      <c r="F108" s="37"/>
    </row>
    <row r="109" spans="2:6">
      <c r="B109" s="37"/>
      <c r="C109" s="37"/>
      <c r="D109" s="37"/>
      <c r="E109" s="37"/>
      <c r="F109" s="37"/>
    </row>
    <row r="110" spans="2:6">
      <c r="B110" s="37"/>
      <c r="C110" s="37"/>
      <c r="D110" s="37"/>
      <c r="E110" s="37"/>
      <c r="F110" s="37"/>
    </row>
    <row r="111" spans="2:6">
      <c r="B111" s="37"/>
      <c r="C111" s="37"/>
      <c r="D111" s="37"/>
      <c r="E111" s="37"/>
      <c r="F111" s="37"/>
    </row>
    <row r="112" spans="2:6">
      <c r="B112" s="37"/>
      <c r="C112" s="37"/>
      <c r="D112" s="37"/>
      <c r="E112" s="37"/>
      <c r="F112" s="37"/>
    </row>
    <row r="113" spans="2:6">
      <c r="B113" s="37"/>
      <c r="C113" s="37"/>
      <c r="D113" s="37"/>
      <c r="E113" s="37"/>
      <c r="F113" s="37"/>
    </row>
    <row r="114" spans="2:6">
      <c r="B114" s="37"/>
      <c r="C114" s="37"/>
      <c r="D114" s="37"/>
      <c r="E114" s="37"/>
      <c r="F114" s="37"/>
    </row>
    <row r="115" spans="2:6">
      <c r="B115" s="37"/>
      <c r="C115" s="37"/>
      <c r="D115" s="37"/>
      <c r="E115" s="37"/>
      <c r="F115" s="37"/>
    </row>
    <row r="116" spans="2:6">
      <c r="B116" s="37"/>
      <c r="C116" s="37"/>
      <c r="D116" s="37"/>
      <c r="E116" s="37"/>
      <c r="F116" s="37"/>
    </row>
    <row r="117" spans="2:6">
      <c r="B117" s="37"/>
      <c r="C117" s="37"/>
      <c r="D117" s="37"/>
      <c r="E117" s="37"/>
      <c r="F117" s="37"/>
    </row>
    <row r="118" spans="2:6">
      <c r="B118" s="37"/>
      <c r="C118" s="37"/>
      <c r="D118" s="37"/>
      <c r="E118" s="37"/>
      <c r="F118" s="37"/>
    </row>
    <row r="119" spans="2:6">
      <c r="B119" s="37"/>
      <c r="C119" s="37"/>
      <c r="D119" s="37"/>
      <c r="E119" s="37"/>
      <c r="F119" s="37"/>
    </row>
    <row r="120" spans="2:6">
      <c r="B120" s="37"/>
      <c r="C120" s="37"/>
      <c r="D120" s="37"/>
      <c r="E120" s="37"/>
      <c r="F120" s="37"/>
    </row>
    <row r="121" spans="2:6">
      <c r="B121" s="37"/>
      <c r="C121" s="37"/>
      <c r="D121" s="37"/>
      <c r="E121" s="37"/>
      <c r="F121" s="37"/>
    </row>
    <row r="122" spans="2:6">
      <c r="B122" s="37"/>
      <c r="C122" s="37"/>
      <c r="D122" s="37"/>
      <c r="E122" s="37"/>
      <c r="F122" s="37"/>
    </row>
    <row r="123" spans="2:6">
      <c r="B123" s="37"/>
      <c r="C123" s="37"/>
      <c r="D123" s="37"/>
      <c r="E123" s="37"/>
      <c r="F123" s="37"/>
    </row>
    <row r="124" spans="2:6">
      <c r="B124" s="37"/>
      <c r="C124" s="37"/>
      <c r="D124" s="37"/>
      <c r="E124" s="37"/>
      <c r="F124" s="37"/>
    </row>
    <row r="125" spans="2:6">
      <c r="B125" s="37"/>
      <c r="C125" s="37"/>
      <c r="D125" s="37"/>
      <c r="E125" s="37"/>
      <c r="F125" s="37"/>
    </row>
    <row r="126" spans="2:6">
      <c r="B126" s="37"/>
      <c r="C126" s="37"/>
      <c r="D126" s="37"/>
      <c r="E126" s="37"/>
      <c r="F126" s="37"/>
    </row>
    <row r="127" spans="2:6">
      <c r="B127" s="37"/>
      <c r="C127" s="37"/>
      <c r="D127" s="37"/>
      <c r="E127" s="37"/>
      <c r="F127" s="37"/>
    </row>
    <row r="128" spans="2:6">
      <c r="B128" s="37"/>
      <c r="C128" s="37"/>
      <c r="D128" s="37"/>
      <c r="E128" s="37"/>
      <c r="F128" s="37"/>
    </row>
    <row r="129" spans="2:6">
      <c r="B129" s="37"/>
      <c r="C129" s="37"/>
      <c r="D129" s="37"/>
      <c r="E129" s="37"/>
      <c r="F129" s="37"/>
    </row>
    <row r="130" spans="2:6">
      <c r="B130" s="37"/>
      <c r="C130" s="37"/>
      <c r="D130" s="37"/>
      <c r="E130" s="37"/>
      <c r="F130" s="37"/>
    </row>
    <row r="131" spans="2:6">
      <c r="B131" s="37"/>
      <c r="C131" s="37"/>
      <c r="D131" s="37"/>
      <c r="E131" s="37"/>
      <c r="F131" s="37"/>
    </row>
    <row r="132" spans="2:6">
      <c r="B132" s="37"/>
      <c r="C132" s="37"/>
      <c r="D132" s="37"/>
      <c r="E132" s="37"/>
      <c r="F132" s="37"/>
    </row>
    <row r="133" spans="2:6">
      <c r="B133" s="37"/>
      <c r="C133" s="37"/>
      <c r="D133" s="37"/>
      <c r="E133" s="37"/>
      <c r="F133" s="37"/>
    </row>
    <row r="134" spans="2:6">
      <c r="B134" s="37"/>
      <c r="C134" s="37"/>
      <c r="D134" s="37"/>
      <c r="E134" s="37"/>
      <c r="F134" s="37"/>
    </row>
    <row r="135" spans="2:6">
      <c r="B135" s="37"/>
      <c r="C135" s="37"/>
      <c r="D135" s="37"/>
      <c r="E135" s="37"/>
      <c r="F135" s="37"/>
    </row>
    <row r="136" spans="2:6">
      <c r="B136" s="37"/>
      <c r="C136" s="37"/>
      <c r="D136" s="37"/>
      <c r="E136" s="37"/>
      <c r="F136" s="37"/>
    </row>
    <row r="137" spans="2:6">
      <c r="B137" s="37"/>
      <c r="C137" s="37"/>
      <c r="D137" s="37"/>
      <c r="E137" s="37"/>
      <c r="F137" s="37"/>
    </row>
    <row r="138" spans="2:6">
      <c r="B138" s="37"/>
      <c r="C138" s="37"/>
      <c r="D138" s="37"/>
      <c r="E138" s="37"/>
      <c r="F138" s="37"/>
    </row>
    <row r="139" spans="2:6">
      <c r="B139" s="37"/>
      <c r="C139" s="37"/>
      <c r="D139" s="37"/>
      <c r="E139" s="37"/>
      <c r="F139" s="37"/>
    </row>
    <row r="140" spans="2:6">
      <c r="B140" s="37"/>
      <c r="C140" s="37"/>
      <c r="D140" s="37"/>
      <c r="E140" s="37"/>
      <c r="F140" s="37"/>
    </row>
    <row r="141" spans="2:6">
      <c r="B141" s="37"/>
      <c r="C141" s="37"/>
      <c r="D141" s="37"/>
      <c r="E141" s="37"/>
      <c r="F141" s="37"/>
    </row>
    <row r="142" spans="2:6">
      <c r="B142" s="37"/>
      <c r="C142" s="37"/>
      <c r="D142" s="37"/>
      <c r="E142" s="37"/>
      <c r="F142" s="37"/>
    </row>
    <row r="143" spans="2:6">
      <c r="B143" s="37"/>
      <c r="C143" s="37"/>
      <c r="D143" s="37"/>
      <c r="E143" s="37"/>
      <c r="F143" s="37"/>
    </row>
    <row r="144" spans="2:6">
      <c r="B144" s="37"/>
      <c r="C144" s="37"/>
      <c r="D144" s="37"/>
      <c r="E144" s="37"/>
      <c r="F144" s="37"/>
    </row>
    <row r="145" spans="2:6">
      <c r="B145" s="37"/>
      <c r="C145" s="37"/>
      <c r="D145" s="37"/>
      <c r="E145" s="37"/>
      <c r="F145" s="37"/>
    </row>
    <row r="146" spans="2:6">
      <c r="B146" s="37"/>
      <c r="C146" s="37"/>
      <c r="D146" s="37"/>
      <c r="E146" s="37"/>
      <c r="F146" s="37"/>
    </row>
    <row r="147" spans="2:6">
      <c r="B147" s="37"/>
      <c r="C147" s="37"/>
      <c r="D147" s="37"/>
      <c r="E147" s="37"/>
      <c r="F147" s="37"/>
    </row>
    <row r="148" spans="2:6">
      <c r="B148" s="37"/>
      <c r="C148" s="37"/>
      <c r="D148" s="37"/>
      <c r="E148" s="37"/>
      <c r="F148" s="37"/>
    </row>
    <row r="149" spans="2:6">
      <c r="B149" s="37"/>
      <c r="C149" s="37"/>
      <c r="D149" s="37"/>
      <c r="E149" s="37"/>
      <c r="F149" s="37"/>
    </row>
    <row r="150" spans="2:6">
      <c r="B150" s="37"/>
      <c r="C150" s="37"/>
      <c r="D150" s="37"/>
      <c r="E150" s="37"/>
      <c r="F150" s="37"/>
    </row>
    <row r="151" spans="2:6">
      <c r="B151" s="37"/>
      <c r="C151" s="37"/>
      <c r="D151" s="37"/>
      <c r="E151" s="37"/>
      <c r="F151" s="37"/>
    </row>
    <row r="152" spans="2:6">
      <c r="B152" s="37"/>
      <c r="C152" s="37"/>
      <c r="D152" s="37"/>
      <c r="E152" s="37"/>
      <c r="F152" s="37"/>
    </row>
    <row r="153" spans="2:6">
      <c r="B153" s="37"/>
      <c r="C153" s="37"/>
      <c r="D153" s="37"/>
      <c r="E153" s="37"/>
      <c r="F153" s="37"/>
    </row>
    <row r="154" spans="2:6">
      <c r="B154" s="37"/>
      <c r="C154" s="37"/>
      <c r="D154" s="37"/>
      <c r="E154" s="37"/>
      <c r="F154" s="37"/>
    </row>
    <row r="155" spans="2:6">
      <c r="B155" s="37"/>
      <c r="C155" s="37"/>
      <c r="D155" s="37"/>
      <c r="E155" s="37"/>
      <c r="F155" s="37"/>
    </row>
    <row r="156" spans="2:6">
      <c r="B156" s="37"/>
      <c r="C156" s="37"/>
      <c r="D156" s="37"/>
      <c r="E156" s="37"/>
      <c r="F156" s="37"/>
    </row>
    <row r="157" spans="2:6">
      <c r="B157" s="37"/>
      <c r="C157" s="37"/>
      <c r="D157" s="37"/>
      <c r="E157" s="37"/>
      <c r="F157" s="37"/>
    </row>
    <row r="158" spans="2:6">
      <c r="B158" s="37"/>
      <c r="C158" s="37"/>
      <c r="D158" s="37"/>
      <c r="E158" s="37"/>
      <c r="F158" s="37"/>
    </row>
    <row r="159" spans="2:6">
      <c r="B159" s="37"/>
      <c r="C159" s="37"/>
      <c r="D159" s="37"/>
      <c r="E159" s="37"/>
      <c r="F159" s="37"/>
    </row>
    <row r="160" spans="2:6">
      <c r="B160" s="37"/>
      <c r="C160" s="37"/>
      <c r="D160" s="37"/>
      <c r="E160" s="37"/>
      <c r="F160" s="37"/>
    </row>
    <row r="161" spans="2:6">
      <c r="B161" s="37"/>
      <c r="C161" s="37"/>
      <c r="D161" s="37"/>
      <c r="E161" s="37"/>
      <c r="F161" s="37"/>
    </row>
    <row r="162" spans="2:6">
      <c r="B162" s="37"/>
      <c r="C162" s="37"/>
      <c r="D162" s="37"/>
      <c r="E162" s="37"/>
      <c r="F162" s="37"/>
    </row>
    <row r="163" spans="2:6">
      <c r="B163" s="37"/>
      <c r="C163" s="37"/>
      <c r="D163" s="37"/>
      <c r="E163" s="37"/>
      <c r="F163" s="37"/>
    </row>
    <row r="164" spans="2:6">
      <c r="B164" s="37"/>
      <c r="C164" s="37"/>
      <c r="D164" s="37"/>
      <c r="E164" s="37"/>
      <c r="F164" s="37"/>
    </row>
    <row r="165" spans="2:6">
      <c r="B165" s="37"/>
      <c r="C165" s="37"/>
      <c r="D165" s="37"/>
      <c r="E165" s="37"/>
      <c r="F165" s="37"/>
    </row>
    <row r="166" spans="2:6">
      <c r="B166" s="37"/>
      <c r="C166" s="37"/>
      <c r="D166" s="37"/>
      <c r="E166" s="37"/>
      <c r="F166" s="37"/>
    </row>
    <row r="167" spans="2:6">
      <c r="B167" s="37"/>
      <c r="C167" s="37"/>
      <c r="D167" s="37"/>
      <c r="E167" s="37"/>
      <c r="F167" s="37"/>
    </row>
    <row r="168" spans="2:6">
      <c r="B168" s="37"/>
      <c r="C168" s="37"/>
      <c r="D168" s="37"/>
      <c r="E168" s="37"/>
      <c r="F168" s="37"/>
    </row>
    <row r="169" spans="2:6">
      <c r="B169" s="37"/>
      <c r="C169" s="37"/>
      <c r="D169" s="37"/>
      <c r="E169" s="37"/>
      <c r="F169" s="37"/>
    </row>
    <row r="170" spans="2:6">
      <c r="B170" s="37"/>
      <c r="C170" s="37"/>
      <c r="D170" s="37"/>
      <c r="E170" s="37"/>
      <c r="F170" s="37"/>
    </row>
    <row r="171" spans="2:6">
      <c r="B171" s="37"/>
      <c r="C171" s="37"/>
      <c r="D171" s="37"/>
      <c r="E171" s="37"/>
      <c r="F171" s="37"/>
    </row>
    <row r="172" spans="2:6">
      <c r="B172" s="37"/>
      <c r="C172" s="37"/>
      <c r="D172" s="37"/>
      <c r="E172" s="37"/>
      <c r="F172" s="37"/>
    </row>
    <row r="173" spans="2:6">
      <c r="B173" s="37"/>
      <c r="C173" s="37"/>
      <c r="D173" s="37"/>
      <c r="E173" s="37"/>
      <c r="F173" s="37"/>
    </row>
    <row r="174" spans="2:6">
      <c r="B174" s="37"/>
      <c r="C174" s="37"/>
      <c r="D174" s="37"/>
      <c r="E174" s="37"/>
      <c r="F174" s="37"/>
    </row>
    <row r="175" spans="2:6">
      <c r="B175" s="37"/>
      <c r="C175" s="37"/>
      <c r="D175" s="37"/>
      <c r="E175" s="37"/>
      <c r="F175" s="37"/>
    </row>
    <row r="176" spans="2:6">
      <c r="B176" s="37"/>
      <c r="C176" s="37"/>
      <c r="D176" s="37"/>
      <c r="E176" s="37"/>
      <c r="F176" s="37"/>
    </row>
    <row r="177" spans="2:6">
      <c r="B177" s="37"/>
      <c r="C177" s="37"/>
      <c r="D177" s="37"/>
      <c r="E177" s="37"/>
      <c r="F177" s="37"/>
    </row>
    <row r="178" spans="2:6">
      <c r="B178" s="37"/>
      <c r="C178" s="37"/>
      <c r="D178" s="37"/>
      <c r="E178" s="37"/>
      <c r="F178" s="37"/>
    </row>
    <row r="179" spans="2:6">
      <c r="B179" s="37"/>
      <c r="C179" s="37"/>
      <c r="D179" s="37"/>
      <c r="E179" s="37"/>
      <c r="F179" s="37"/>
    </row>
    <row r="180" spans="2:6">
      <c r="B180" s="37"/>
      <c r="C180" s="37"/>
      <c r="D180" s="37"/>
      <c r="E180" s="37"/>
      <c r="F180" s="37"/>
    </row>
    <row r="181" spans="2:6">
      <c r="B181" s="37"/>
      <c r="C181" s="37"/>
      <c r="D181" s="37"/>
      <c r="E181" s="37"/>
      <c r="F181" s="37"/>
    </row>
    <row r="182" spans="2:6">
      <c r="B182" s="37"/>
      <c r="C182" s="37"/>
      <c r="D182" s="37"/>
      <c r="E182" s="37"/>
      <c r="F182" s="37"/>
    </row>
    <row r="183" spans="2:6">
      <c r="B183" s="37"/>
      <c r="C183" s="37"/>
      <c r="D183" s="37"/>
      <c r="E183" s="37"/>
      <c r="F183" s="37"/>
    </row>
    <row r="184" spans="2:6">
      <c r="B184" s="37"/>
      <c r="C184" s="37"/>
      <c r="D184" s="37"/>
      <c r="E184" s="37"/>
      <c r="F184" s="37"/>
    </row>
    <row r="185" spans="2:6">
      <c r="B185" s="37"/>
      <c r="C185" s="37"/>
      <c r="D185" s="37"/>
      <c r="E185" s="37"/>
      <c r="F185" s="37"/>
    </row>
    <row r="186" spans="2:6">
      <c r="B186" s="37"/>
      <c r="C186" s="37"/>
      <c r="D186" s="37"/>
      <c r="E186" s="37"/>
      <c r="F186" s="37"/>
    </row>
    <row r="187" spans="2:6">
      <c r="B187" s="37"/>
      <c r="C187" s="37"/>
      <c r="D187" s="37"/>
      <c r="E187" s="37"/>
      <c r="F187" s="37"/>
    </row>
    <row r="188" spans="2:6">
      <c r="B188" s="37"/>
      <c r="C188" s="37"/>
      <c r="D188" s="37"/>
      <c r="E188" s="37"/>
      <c r="F188" s="37"/>
    </row>
    <row r="189" spans="2:6">
      <c r="B189" s="37"/>
      <c r="C189" s="37"/>
      <c r="D189" s="37"/>
      <c r="E189" s="37"/>
      <c r="F189" s="37"/>
    </row>
  </sheetData>
  <mergeCells count="19">
    <mergeCell ref="B18:M18"/>
    <mergeCell ref="B21:M21"/>
    <mergeCell ref="B24:M24"/>
    <mergeCell ref="M3:M4"/>
    <mergeCell ref="N3:N4"/>
    <mergeCell ref="B5:M5"/>
    <mergeCell ref="B8:M8"/>
    <mergeCell ref="B11:M11"/>
    <mergeCell ref="B14:M14"/>
    <mergeCell ref="F3:F4"/>
    <mergeCell ref="G3:G4"/>
    <mergeCell ref="H3:K3"/>
    <mergeCell ref="L3:L4"/>
    <mergeCell ref="A1:N2"/>
    <mergeCell ref="A3:A4"/>
    <mergeCell ref="B3:B4"/>
    <mergeCell ref="C3:C4"/>
    <mergeCell ref="D3:D4"/>
    <mergeCell ref="E3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42" sqref="B42"/>
    </sheetView>
  </sheetViews>
  <sheetFormatPr baseColWidth="10" defaultColWidth="8.7109375" defaultRowHeight="13" x14ac:dyDescent="0"/>
  <cols>
    <col min="1" max="1" width="8.7109375" style="1"/>
    <col min="2" max="2" width="28.28515625" style="144" bestFit="1" customWidth="1"/>
    <col min="3" max="3" width="22.85546875" style="1" bestFit="1" customWidth="1"/>
    <col min="4" max="4" width="18.5703125" style="1" customWidth="1"/>
    <col min="5" max="5" width="8.42578125" style="1" bestFit="1" customWidth="1"/>
    <col min="6" max="6" width="22.7109375" style="4" bestFit="1" customWidth="1"/>
    <col min="7" max="7" width="26.85546875" style="4" bestFit="1" customWidth="1"/>
    <col min="8" max="10" width="5.5703125" style="1" bestFit="1" customWidth="1"/>
    <col min="11" max="11" width="4.5703125" style="1" bestFit="1" customWidth="1"/>
    <col min="12" max="12" width="7.85546875" style="3" bestFit="1" customWidth="1"/>
    <col min="13" max="13" width="8.5703125" style="1" bestFit="1" customWidth="1"/>
    <col min="14" max="14" width="16.5703125" style="4" bestFit="1" customWidth="1"/>
    <col min="15" max="16384" width="8.7109375" style="1"/>
  </cols>
  <sheetData>
    <row r="1" spans="1:14" ht="15" customHeight="1">
      <c r="A1" s="204" t="s">
        <v>600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6"/>
    </row>
    <row r="2" spans="1:14" ht="128.25" customHeight="1" thickBot="1">
      <c r="A2" s="207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9"/>
    </row>
    <row r="3" spans="1:14" s="2" customFormat="1" ht="12.75" customHeight="1" thickBot="1">
      <c r="A3" s="191" t="s">
        <v>339</v>
      </c>
      <c r="B3" s="210" t="s">
        <v>0</v>
      </c>
      <c r="C3" s="211" t="s">
        <v>341</v>
      </c>
      <c r="D3" s="211" t="s">
        <v>342</v>
      </c>
      <c r="E3" s="212" t="s">
        <v>461</v>
      </c>
      <c r="F3" s="212" t="s">
        <v>7</v>
      </c>
      <c r="G3" s="212" t="s">
        <v>343</v>
      </c>
      <c r="H3" s="212" t="s">
        <v>2</v>
      </c>
      <c r="I3" s="212"/>
      <c r="J3" s="212"/>
      <c r="K3" s="212"/>
      <c r="L3" s="212" t="s">
        <v>4</v>
      </c>
      <c r="M3" s="212" t="s">
        <v>6</v>
      </c>
      <c r="N3" s="213" t="s">
        <v>5</v>
      </c>
    </row>
    <row r="4" spans="1:14" s="2" customFormat="1" ht="21" customHeight="1" thickBot="1">
      <c r="A4" s="192"/>
      <c r="B4" s="189"/>
      <c r="C4" s="190"/>
      <c r="D4" s="190"/>
      <c r="E4" s="182"/>
      <c r="F4" s="182"/>
      <c r="G4" s="182"/>
      <c r="H4" s="131">
        <v>1</v>
      </c>
      <c r="I4" s="131">
        <v>2</v>
      </c>
      <c r="J4" s="131">
        <v>3</v>
      </c>
      <c r="K4" s="131" t="s">
        <v>8</v>
      </c>
      <c r="L4" s="182"/>
      <c r="M4" s="182"/>
      <c r="N4" s="194"/>
    </row>
    <row r="5" spans="1:14" ht="16">
      <c r="B5" s="197" t="s">
        <v>165</v>
      </c>
      <c r="C5" s="198"/>
      <c r="D5" s="198"/>
      <c r="E5" s="198"/>
      <c r="F5" s="198"/>
      <c r="G5" s="198"/>
      <c r="H5" s="198"/>
      <c r="I5" s="198"/>
      <c r="J5" s="198"/>
      <c r="K5" s="198"/>
      <c r="L5" s="197"/>
      <c r="M5" s="198"/>
    </row>
    <row r="6" spans="1:14">
      <c r="A6" s="8" t="s">
        <v>340</v>
      </c>
      <c r="B6" s="140" t="s">
        <v>195</v>
      </c>
      <c r="C6" s="8" t="s">
        <v>196</v>
      </c>
      <c r="D6" s="8" t="s">
        <v>404</v>
      </c>
      <c r="E6" s="8" t="str">
        <f>"0,6606"</f>
        <v>0,6606</v>
      </c>
      <c r="F6" s="9" t="s">
        <v>90</v>
      </c>
      <c r="G6" s="9" t="s">
        <v>24</v>
      </c>
      <c r="H6" s="141" t="s">
        <v>92</v>
      </c>
      <c r="I6" s="142" t="s">
        <v>34</v>
      </c>
      <c r="J6" s="141" t="s">
        <v>34</v>
      </c>
      <c r="K6" s="143"/>
      <c r="L6" s="7" t="s">
        <v>484</v>
      </c>
      <c r="M6" s="8" t="str">
        <f>"135,4230"</f>
        <v>135,4230</v>
      </c>
      <c r="N6" s="9" t="s">
        <v>446</v>
      </c>
    </row>
    <row r="8" spans="1:14" ht="16">
      <c r="B8" s="195" t="s">
        <v>113</v>
      </c>
      <c r="C8" s="196"/>
      <c r="D8" s="196"/>
      <c r="E8" s="196"/>
      <c r="F8" s="196"/>
      <c r="G8" s="196"/>
      <c r="H8" s="196"/>
      <c r="I8" s="196"/>
      <c r="J8" s="196"/>
      <c r="K8" s="196"/>
      <c r="L8" s="195"/>
      <c r="M8" s="196"/>
    </row>
    <row r="9" spans="1:14">
      <c r="A9" s="8" t="s">
        <v>340</v>
      </c>
      <c r="B9" s="140" t="s">
        <v>220</v>
      </c>
      <c r="C9" s="8" t="s">
        <v>221</v>
      </c>
      <c r="D9" s="8" t="s">
        <v>412</v>
      </c>
      <c r="E9" s="8" t="str">
        <f>"0,6016"</f>
        <v>0,6016</v>
      </c>
      <c r="F9" s="9" t="s">
        <v>44</v>
      </c>
      <c r="G9" s="9" t="s">
        <v>24</v>
      </c>
      <c r="H9" s="141" t="s">
        <v>121</v>
      </c>
      <c r="I9" s="141" t="s">
        <v>479</v>
      </c>
      <c r="J9" s="141" t="s">
        <v>313</v>
      </c>
      <c r="K9" s="143"/>
      <c r="L9" s="7" t="s">
        <v>485</v>
      </c>
      <c r="M9" s="8" t="str">
        <f>"168,4480"</f>
        <v>168,4480</v>
      </c>
      <c r="N9" s="9" t="s">
        <v>374</v>
      </c>
    </row>
    <row r="11" spans="1:14" ht="16">
      <c r="B11" s="195" t="s">
        <v>62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5"/>
      <c r="M11" s="196"/>
    </row>
    <row r="12" spans="1:14">
      <c r="A12" s="8" t="s">
        <v>340</v>
      </c>
      <c r="B12" s="140" t="s">
        <v>238</v>
      </c>
      <c r="C12" s="8" t="s">
        <v>239</v>
      </c>
      <c r="D12" s="8" t="s">
        <v>420</v>
      </c>
      <c r="E12" s="8" t="str">
        <f>"0,5678"</f>
        <v>0,5678</v>
      </c>
      <c r="F12" s="9" t="s">
        <v>13</v>
      </c>
      <c r="G12" s="9" t="s">
        <v>24</v>
      </c>
      <c r="H12" s="141" t="s">
        <v>39</v>
      </c>
      <c r="I12" s="142" t="s">
        <v>51</v>
      </c>
      <c r="J12" s="143"/>
      <c r="K12" s="143"/>
      <c r="L12" s="7" t="s">
        <v>486</v>
      </c>
      <c r="M12" s="8" t="str">
        <f>"130,5940"</f>
        <v>130,5940</v>
      </c>
      <c r="N12" s="9" t="s">
        <v>487</v>
      </c>
    </row>
    <row r="14" spans="1:14" ht="16">
      <c r="B14" s="195" t="s">
        <v>309</v>
      </c>
      <c r="C14" s="196"/>
      <c r="D14" s="196"/>
      <c r="E14" s="196"/>
      <c r="F14" s="196"/>
      <c r="G14" s="196"/>
      <c r="H14" s="196"/>
      <c r="I14" s="196"/>
      <c r="J14" s="196"/>
      <c r="K14" s="196"/>
      <c r="L14" s="195"/>
      <c r="M14" s="196"/>
    </row>
    <row r="15" spans="1:14">
      <c r="A15" s="8" t="s">
        <v>340</v>
      </c>
      <c r="B15" s="140" t="s">
        <v>310</v>
      </c>
      <c r="C15" s="8" t="s">
        <v>311</v>
      </c>
      <c r="D15" s="8" t="s">
        <v>373</v>
      </c>
      <c r="E15" s="8" t="str">
        <f>"0,5424"</f>
        <v>0,5424</v>
      </c>
      <c r="F15" s="9" t="s">
        <v>13</v>
      </c>
      <c r="G15" s="9" t="s">
        <v>312</v>
      </c>
      <c r="H15" s="141" t="s">
        <v>308</v>
      </c>
      <c r="I15" s="141" t="s">
        <v>488</v>
      </c>
      <c r="J15" s="142" t="s">
        <v>462</v>
      </c>
      <c r="K15" s="143"/>
      <c r="L15" s="7" t="s">
        <v>489</v>
      </c>
      <c r="M15" s="8" t="str">
        <f>"150,5243"</f>
        <v>150,5243</v>
      </c>
      <c r="N15" s="9" t="s">
        <v>134</v>
      </c>
    </row>
    <row r="17" spans="2:6" ht="16">
      <c r="F17" s="19"/>
    </row>
    <row r="18" spans="2:6" ht="16">
      <c r="F18" s="19"/>
    </row>
    <row r="19" spans="2:6" ht="16">
      <c r="F19" s="19"/>
    </row>
    <row r="20" spans="2:6" ht="16">
      <c r="F20" s="19"/>
    </row>
    <row r="21" spans="2:6" ht="16">
      <c r="F21" s="19"/>
    </row>
    <row r="22" spans="2:6" ht="16">
      <c r="F22" s="19"/>
    </row>
    <row r="23" spans="2:6" ht="16">
      <c r="F23" s="19"/>
    </row>
    <row r="25" spans="2:6" ht="18">
      <c r="B25" s="145"/>
      <c r="C25" s="20"/>
    </row>
    <row r="26" spans="2:6" ht="16">
      <c r="B26" s="146"/>
      <c r="C26" s="116"/>
    </row>
    <row r="27" spans="2:6" ht="14">
      <c r="B27" s="147"/>
      <c r="C27" s="21"/>
    </row>
    <row r="28" spans="2:6" ht="14">
      <c r="B28" s="148"/>
      <c r="C28" s="2"/>
      <c r="D28" s="2"/>
      <c r="E28" s="2"/>
      <c r="F28" s="2"/>
    </row>
    <row r="29" spans="2:6">
      <c r="B29" s="149"/>
      <c r="F29" s="3"/>
    </row>
    <row r="30" spans="2:6">
      <c r="B30" s="149"/>
      <c r="F30" s="3"/>
    </row>
    <row r="31" spans="2:6">
      <c r="B31" s="149"/>
      <c r="F31" s="3"/>
    </row>
    <row r="32" spans="2:6">
      <c r="B32" s="149"/>
      <c r="F32" s="3"/>
    </row>
  </sheetData>
  <mergeCells count="16">
    <mergeCell ref="A1:N2"/>
    <mergeCell ref="B14:M14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1:M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F34" sqref="F34"/>
    </sheetView>
  </sheetViews>
  <sheetFormatPr baseColWidth="10" defaultColWidth="8.7109375" defaultRowHeight="13" x14ac:dyDescent="0"/>
  <cols>
    <col min="2" max="2" width="26" style="22" bestFit="1" customWidth="1"/>
    <col min="3" max="3" width="22.85546875" style="22" bestFit="1" customWidth="1"/>
    <col min="4" max="4" width="15.42578125" style="22" customWidth="1"/>
    <col min="5" max="5" width="8.42578125" style="22" bestFit="1" customWidth="1"/>
    <col min="6" max="6" width="22.7109375" style="22" bestFit="1" customWidth="1"/>
    <col min="7" max="7" width="26.85546875" style="22" bestFit="1" customWidth="1"/>
    <col min="8" max="10" width="5.5703125" style="102" bestFit="1" customWidth="1"/>
    <col min="11" max="11" width="4.5703125" style="102" bestFit="1" customWidth="1"/>
    <col min="12" max="12" width="7.85546875" style="102" bestFit="1" customWidth="1"/>
    <col min="13" max="13" width="8.5703125" style="102" bestFit="1" customWidth="1"/>
    <col min="14" max="14" width="15.42578125" style="22" bestFit="1" customWidth="1"/>
  </cols>
  <sheetData>
    <row r="1" spans="1:14" s="1" customFormat="1" ht="15" customHeight="1">
      <c r="A1" s="183" t="s">
        <v>595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10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91" t="s">
        <v>339</v>
      </c>
      <c r="B3" s="202" t="s">
        <v>0</v>
      </c>
      <c r="C3" s="190" t="s">
        <v>341</v>
      </c>
      <c r="D3" s="190" t="s">
        <v>342</v>
      </c>
      <c r="E3" s="181" t="s">
        <v>461</v>
      </c>
      <c r="F3" s="181" t="s">
        <v>7</v>
      </c>
      <c r="G3" s="181" t="s">
        <v>343</v>
      </c>
      <c r="H3" s="181" t="s">
        <v>2</v>
      </c>
      <c r="I3" s="181"/>
      <c r="J3" s="181"/>
      <c r="K3" s="181"/>
      <c r="L3" s="181" t="s">
        <v>4</v>
      </c>
      <c r="M3" s="181" t="s">
        <v>6</v>
      </c>
      <c r="N3" s="193" t="s">
        <v>5</v>
      </c>
    </row>
    <row r="4" spans="1:14" s="2" customFormat="1" ht="21" customHeight="1" thickBot="1">
      <c r="A4" s="192"/>
      <c r="B4" s="203"/>
      <c r="C4" s="190"/>
      <c r="D4" s="190"/>
      <c r="E4" s="182"/>
      <c r="F4" s="182"/>
      <c r="G4" s="182"/>
      <c r="H4" s="115">
        <v>1</v>
      </c>
      <c r="I4" s="115">
        <v>2</v>
      </c>
      <c r="J4" s="115">
        <v>3</v>
      </c>
      <c r="K4" s="115" t="s">
        <v>8</v>
      </c>
      <c r="L4" s="182"/>
      <c r="M4" s="182"/>
      <c r="N4" s="194"/>
    </row>
    <row r="5" spans="1:14" ht="16">
      <c r="B5" s="187" t="s">
        <v>309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82">
        <v>1</v>
      </c>
      <c r="B6" s="31" t="s">
        <v>310</v>
      </c>
      <c r="C6" s="31" t="s">
        <v>311</v>
      </c>
      <c r="D6" s="31" t="s">
        <v>373</v>
      </c>
      <c r="E6" s="31" t="str">
        <f>"0,5424"</f>
        <v>0,5424</v>
      </c>
      <c r="F6" s="31" t="s">
        <v>13</v>
      </c>
      <c r="G6" s="31" t="s">
        <v>312</v>
      </c>
      <c r="H6" s="104" t="s">
        <v>462</v>
      </c>
      <c r="I6" s="103" t="s">
        <v>463</v>
      </c>
      <c r="J6" s="104" t="s">
        <v>314</v>
      </c>
      <c r="K6" s="101"/>
      <c r="L6" s="93" t="s">
        <v>463</v>
      </c>
      <c r="M6" s="93" t="str">
        <f>"157,3047"</f>
        <v>157,3047</v>
      </c>
      <c r="N6" s="31" t="s">
        <v>134</v>
      </c>
    </row>
    <row r="8" spans="1:14" ht="16">
      <c r="B8" s="37"/>
      <c r="C8" s="37"/>
      <c r="D8" s="37"/>
      <c r="E8" s="37"/>
      <c r="F8" s="43"/>
    </row>
    <row r="9" spans="1:14" ht="16">
      <c r="B9" s="37"/>
      <c r="C9" s="37"/>
      <c r="D9" s="37"/>
      <c r="E9" s="37"/>
      <c r="F9" s="43"/>
    </row>
    <row r="10" spans="1:14" ht="16">
      <c r="B10" s="37"/>
      <c r="C10" s="37"/>
      <c r="D10" s="37"/>
      <c r="E10" s="37"/>
      <c r="F10" s="43"/>
    </row>
    <row r="11" spans="1:14" ht="16">
      <c r="B11" s="37"/>
      <c r="C11" s="37"/>
      <c r="D11" s="37"/>
      <c r="E11" s="37"/>
      <c r="F11" s="43"/>
    </row>
    <row r="12" spans="1:14" ht="16">
      <c r="B12" s="37"/>
      <c r="C12" s="37"/>
      <c r="D12" s="37"/>
      <c r="E12" s="37"/>
      <c r="F12" s="43"/>
    </row>
    <row r="13" spans="1:14" ht="16">
      <c r="B13" s="37"/>
      <c r="C13" s="37"/>
      <c r="D13" s="37"/>
      <c r="E13" s="37"/>
      <c r="F13" s="43"/>
    </row>
    <row r="14" spans="1:14" ht="16">
      <c r="B14" s="37"/>
      <c r="C14" s="37"/>
      <c r="D14" s="37"/>
      <c r="E14" s="37"/>
      <c r="F14" s="43"/>
    </row>
    <row r="15" spans="1:14">
      <c r="B15" s="37"/>
      <c r="C15" s="37"/>
      <c r="D15" s="37"/>
      <c r="E15" s="37"/>
      <c r="F15" s="37"/>
    </row>
    <row r="16" spans="1:14" ht="18">
      <c r="B16" s="44"/>
      <c r="C16" s="44"/>
      <c r="D16" s="37"/>
      <c r="E16" s="37"/>
      <c r="F16" s="37"/>
    </row>
    <row r="17" spans="2:6" ht="16">
      <c r="B17" s="45"/>
      <c r="C17" s="45"/>
      <c r="D17" s="37"/>
      <c r="E17" s="37"/>
      <c r="F17" s="37"/>
    </row>
    <row r="18" spans="2:6" ht="14">
      <c r="B18" s="46"/>
      <c r="C18" s="47"/>
      <c r="D18" s="37"/>
      <c r="E18" s="37"/>
      <c r="F18" s="37"/>
    </row>
    <row r="19" spans="2:6" ht="14">
      <c r="B19" s="48"/>
      <c r="C19" s="48"/>
      <c r="D19" s="48"/>
      <c r="E19" s="48"/>
      <c r="F19" s="48"/>
    </row>
    <row r="20" spans="2:6">
      <c r="B20" s="49"/>
      <c r="C20" s="37"/>
      <c r="D20" s="37"/>
      <c r="E20" s="37"/>
      <c r="F20" s="50"/>
    </row>
    <row r="21" spans="2:6">
      <c r="B21" s="37"/>
      <c r="C21" s="37"/>
      <c r="D21" s="37"/>
      <c r="E21" s="37"/>
      <c r="F21" s="37"/>
    </row>
  </sheetData>
  <mergeCells count="13">
    <mergeCell ref="A1:N2"/>
    <mergeCell ref="M3:M4"/>
    <mergeCell ref="N3:N4"/>
    <mergeCell ref="B5:M5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sqref="A1:L2"/>
    </sheetView>
  </sheetViews>
  <sheetFormatPr baseColWidth="10" defaultColWidth="8.7109375" defaultRowHeight="13" x14ac:dyDescent="0"/>
  <cols>
    <col min="2" max="2" width="26" style="22" bestFit="1" customWidth="1"/>
    <col min="3" max="3" width="29" style="22" bestFit="1" customWidth="1"/>
    <col min="4" max="4" width="15.7109375" style="22" customWidth="1"/>
    <col min="5" max="5" width="8.42578125" style="22" bestFit="1" customWidth="1"/>
    <col min="6" max="6" width="22.7109375" style="22" bestFit="1" customWidth="1"/>
    <col min="7" max="7" width="26" style="22" bestFit="1" customWidth="1"/>
    <col min="8" max="8" width="4.5703125" style="22" bestFit="1" customWidth="1"/>
    <col min="9" max="9" width="11" style="22" customWidth="1"/>
    <col min="10" max="10" width="7.85546875" style="22" bestFit="1" customWidth="1"/>
    <col min="11" max="11" width="8.5703125" style="22" bestFit="1" customWidth="1"/>
    <col min="12" max="12" width="15.7109375" style="22" bestFit="1" customWidth="1"/>
  </cols>
  <sheetData>
    <row r="1" spans="1:12" s="1" customFormat="1" ht="15" customHeight="1">
      <c r="A1" s="183" t="s">
        <v>603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1" customFormat="1" ht="86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2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461</v>
      </c>
      <c r="F3" s="181" t="s">
        <v>7</v>
      </c>
      <c r="G3" s="181" t="s">
        <v>343</v>
      </c>
      <c r="H3" s="181" t="s">
        <v>490</v>
      </c>
      <c r="I3" s="181"/>
      <c r="J3" s="181" t="s">
        <v>491</v>
      </c>
      <c r="K3" s="181" t="s">
        <v>6</v>
      </c>
      <c r="L3" s="216" t="s">
        <v>5</v>
      </c>
    </row>
    <row r="4" spans="1:12" s="2" customFormat="1" ht="21" customHeight="1" thickBot="1">
      <c r="A4" s="192"/>
      <c r="B4" s="189"/>
      <c r="C4" s="190"/>
      <c r="D4" s="190"/>
      <c r="E4" s="182"/>
      <c r="F4" s="182"/>
      <c r="G4" s="182"/>
      <c r="H4" s="115" t="s">
        <v>492</v>
      </c>
      <c r="I4" s="150" t="s">
        <v>493</v>
      </c>
      <c r="J4" s="182"/>
      <c r="K4" s="182"/>
      <c r="L4" s="217"/>
    </row>
    <row r="5" spans="1:12" ht="16">
      <c r="B5" s="187" t="s">
        <v>127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1:12">
      <c r="A6" s="82">
        <v>1</v>
      </c>
      <c r="B6" s="31" t="s">
        <v>128</v>
      </c>
      <c r="C6" s="31" t="s">
        <v>129</v>
      </c>
      <c r="D6" s="31" t="s">
        <v>354</v>
      </c>
      <c r="E6" s="31" t="str">
        <f>"1,2077"</f>
        <v>1,2077</v>
      </c>
      <c r="F6" s="31" t="s">
        <v>116</v>
      </c>
      <c r="G6" s="31" t="s">
        <v>24</v>
      </c>
      <c r="H6" s="133" t="s">
        <v>494</v>
      </c>
      <c r="I6" s="133" t="s">
        <v>495</v>
      </c>
      <c r="J6" s="31" t="s">
        <v>496</v>
      </c>
      <c r="K6" s="31" t="str">
        <f>"905,7750"</f>
        <v>905,7750</v>
      </c>
      <c r="L6" s="31" t="s">
        <v>134</v>
      </c>
    </row>
    <row r="8" spans="1:12" ht="16">
      <c r="B8" s="37"/>
      <c r="C8" s="37"/>
      <c r="D8" s="37"/>
      <c r="E8" s="37"/>
      <c r="F8" s="43"/>
      <c r="G8" s="37"/>
    </row>
    <row r="9" spans="1:12" ht="16">
      <c r="B9" s="37"/>
      <c r="C9" s="37"/>
      <c r="D9" s="37"/>
      <c r="E9" s="37"/>
      <c r="F9" s="43"/>
      <c r="G9" s="37"/>
    </row>
    <row r="10" spans="1:12" ht="16">
      <c r="B10" s="37"/>
      <c r="C10" s="37"/>
      <c r="D10" s="37"/>
      <c r="E10" s="37"/>
      <c r="F10" s="43"/>
      <c r="G10" s="37"/>
    </row>
    <row r="11" spans="1:12" ht="16">
      <c r="B11" s="37"/>
      <c r="C11" s="37"/>
      <c r="D11" s="37"/>
      <c r="E11" s="37"/>
      <c r="F11" s="43"/>
      <c r="G11" s="37"/>
    </row>
    <row r="12" spans="1:12" ht="16">
      <c r="B12" s="37"/>
      <c r="C12" s="37"/>
      <c r="D12" s="37"/>
      <c r="E12" s="37"/>
      <c r="F12" s="43"/>
      <c r="G12" s="37"/>
    </row>
    <row r="13" spans="1:12" ht="16">
      <c r="B13" s="37"/>
      <c r="C13" s="37"/>
      <c r="D13" s="37"/>
      <c r="E13" s="37"/>
      <c r="F13" s="43"/>
      <c r="G13" s="37"/>
    </row>
    <row r="14" spans="1:12" ht="16">
      <c r="B14" s="37"/>
      <c r="C14" s="37"/>
      <c r="D14" s="37"/>
      <c r="E14" s="37"/>
      <c r="F14" s="43"/>
      <c r="G14" s="37"/>
    </row>
    <row r="15" spans="1:12">
      <c r="B15" s="37"/>
      <c r="C15" s="37"/>
      <c r="D15" s="37"/>
      <c r="E15" s="37"/>
      <c r="F15" s="37"/>
      <c r="G15" s="37"/>
    </row>
    <row r="16" spans="1:12" ht="18">
      <c r="B16" s="44"/>
      <c r="C16" s="44"/>
      <c r="D16" s="37"/>
      <c r="E16" s="37"/>
      <c r="F16" s="37"/>
      <c r="G16" s="37"/>
    </row>
    <row r="17" spans="2:7" ht="16">
      <c r="B17" s="45"/>
      <c r="C17" s="45"/>
      <c r="D17" s="37"/>
      <c r="E17" s="37"/>
      <c r="F17" s="37"/>
      <c r="G17" s="37"/>
    </row>
    <row r="18" spans="2:7" ht="14">
      <c r="B18" s="46"/>
      <c r="C18" s="47"/>
      <c r="D18" s="37"/>
      <c r="E18" s="37"/>
      <c r="F18" s="37"/>
      <c r="G18" s="37"/>
    </row>
    <row r="19" spans="2:7" ht="14">
      <c r="B19" s="48"/>
      <c r="C19" s="48"/>
      <c r="D19" s="48"/>
      <c r="E19" s="48"/>
      <c r="F19" s="48"/>
      <c r="G19" s="37"/>
    </row>
    <row r="20" spans="2:7">
      <c r="B20" s="49"/>
      <c r="C20" s="37"/>
      <c r="D20" s="37"/>
      <c r="E20" s="37"/>
      <c r="F20" s="50"/>
      <c r="G20" s="37"/>
    </row>
    <row r="21" spans="2:7">
      <c r="B21" s="37"/>
      <c r="C21" s="37"/>
      <c r="D21" s="37"/>
      <c r="E21" s="37"/>
      <c r="F21" s="37"/>
      <c r="G21" s="37"/>
    </row>
    <row r="22" spans="2:7">
      <c r="B22" s="37"/>
      <c r="C22" s="37"/>
      <c r="D22" s="37"/>
      <c r="E22" s="37"/>
      <c r="F22" s="37"/>
      <c r="G22" s="37"/>
    </row>
    <row r="23" spans="2:7">
      <c r="B23" s="37"/>
      <c r="C23" s="37"/>
      <c r="D23" s="37"/>
      <c r="E23" s="37"/>
      <c r="F23" s="37"/>
      <c r="G23" s="37"/>
    </row>
    <row r="24" spans="2:7">
      <c r="B24" s="37"/>
      <c r="C24" s="37"/>
      <c r="D24" s="37"/>
      <c r="E24" s="37"/>
      <c r="F24" s="37"/>
      <c r="G24" s="37"/>
    </row>
    <row r="25" spans="2:7">
      <c r="B25" s="37"/>
      <c r="C25" s="37"/>
      <c r="D25" s="37"/>
      <c r="E25" s="37"/>
      <c r="F25" s="37"/>
      <c r="G25" s="37"/>
    </row>
    <row r="26" spans="2:7">
      <c r="B26" s="37"/>
      <c r="C26" s="37"/>
      <c r="D26" s="37"/>
      <c r="E26" s="37"/>
      <c r="F26" s="37"/>
      <c r="G26" s="37"/>
    </row>
  </sheetData>
  <mergeCells count="13">
    <mergeCell ref="A1:L2"/>
    <mergeCell ref="K3:K4"/>
    <mergeCell ref="L3:L4"/>
    <mergeCell ref="B5:K5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E24" sqref="E24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2.85546875" style="22" bestFit="1" customWidth="1"/>
    <col min="4" max="4" width="14.5703125" style="22" customWidth="1"/>
    <col min="5" max="5" width="8.42578125" style="22" bestFit="1" customWidth="1"/>
    <col min="6" max="6" width="22.7109375" style="22" bestFit="1" customWidth="1"/>
    <col min="7" max="7" width="26" style="22" bestFit="1" customWidth="1"/>
    <col min="8" max="8" width="6.28515625" style="22" customWidth="1"/>
    <col min="9" max="9" width="9.28515625" style="22" customWidth="1"/>
    <col min="10" max="10" width="7.85546875" style="22" bestFit="1" customWidth="1"/>
    <col min="11" max="11" width="9.5703125" style="22" bestFit="1" customWidth="1"/>
    <col min="12" max="12" width="15.5703125" style="22" bestFit="1" customWidth="1"/>
  </cols>
  <sheetData>
    <row r="1" spans="1:12" s="1" customFormat="1" ht="15" customHeight="1">
      <c r="A1" s="183" t="s">
        <v>604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1" customFormat="1" ht="80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2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461</v>
      </c>
      <c r="F3" s="181" t="s">
        <v>7</v>
      </c>
      <c r="G3" s="181" t="s">
        <v>343</v>
      </c>
      <c r="H3" s="181" t="s">
        <v>490</v>
      </c>
      <c r="I3" s="181"/>
      <c r="J3" s="181" t="s">
        <v>491</v>
      </c>
      <c r="K3" s="181" t="s">
        <v>6</v>
      </c>
      <c r="L3" s="216" t="s">
        <v>5</v>
      </c>
    </row>
    <row r="4" spans="1:12" s="2" customFormat="1" ht="21" customHeight="1" thickBot="1">
      <c r="A4" s="192"/>
      <c r="B4" s="189"/>
      <c r="C4" s="190"/>
      <c r="D4" s="190"/>
      <c r="E4" s="182"/>
      <c r="F4" s="182"/>
      <c r="G4" s="182"/>
      <c r="H4" s="115" t="s">
        <v>492</v>
      </c>
      <c r="I4" s="150" t="s">
        <v>493</v>
      </c>
      <c r="J4" s="182"/>
      <c r="K4" s="182"/>
      <c r="L4" s="217"/>
    </row>
    <row r="5" spans="1:12" ht="16">
      <c r="B5" s="187" t="s">
        <v>29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1:12">
      <c r="A6" s="97">
        <v>1</v>
      </c>
      <c r="B6" s="29" t="s">
        <v>497</v>
      </c>
      <c r="C6" s="29" t="s">
        <v>498</v>
      </c>
      <c r="D6" s="29" t="s">
        <v>499</v>
      </c>
      <c r="E6" s="29" t="str">
        <f>"0,7357"</f>
        <v>0,7357</v>
      </c>
      <c r="F6" s="29" t="s">
        <v>212</v>
      </c>
      <c r="G6" s="29" t="s">
        <v>24</v>
      </c>
      <c r="H6" s="134" t="s">
        <v>97</v>
      </c>
      <c r="I6" s="134" t="s">
        <v>500</v>
      </c>
      <c r="J6" s="29" t="s">
        <v>501</v>
      </c>
      <c r="K6" s="29" t="str">
        <f>"1750,9660"</f>
        <v>1750,9660</v>
      </c>
      <c r="L6" s="29" t="s">
        <v>134</v>
      </c>
    </row>
    <row r="7" spans="1:12">
      <c r="A7" s="99">
        <v>2</v>
      </c>
      <c r="B7" s="30" t="s">
        <v>502</v>
      </c>
      <c r="C7" s="30" t="s">
        <v>503</v>
      </c>
      <c r="D7" s="30" t="s">
        <v>504</v>
      </c>
      <c r="E7" s="30" t="str">
        <f>"0,6940"</f>
        <v>0,6940</v>
      </c>
      <c r="F7" s="30" t="s">
        <v>90</v>
      </c>
      <c r="G7" s="30" t="s">
        <v>24</v>
      </c>
      <c r="H7" s="137" t="s">
        <v>98</v>
      </c>
      <c r="I7" s="137" t="s">
        <v>505</v>
      </c>
      <c r="J7" s="30" t="s">
        <v>506</v>
      </c>
      <c r="K7" s="30" t="str">
        <f>"1405,3500"</f>
        <v>1405,3500</v>
      </c>
      <c r="L7" s="30" t="s">
        <v>446</v>
      </c>
    </row>
    <row r="9" spans="1:12" ht="16">
      <c r="B9" s="178" t="s">
        <v>165</v>
      </c>
      <c r="C9" s="178"/>
      <c r="D9" s="178"/>
      <c r="E9" s="178"/>
      <c r="F9" s="178"/>
      <c r="G9" s="178"/>
      <c r="H9" s="178"/>
      <c r="I9" s="178"/>
      <c r="J9" s="178"/>
      <c r="K9" s="178"/>
    </row>
    <row r="10" spans="1:12">
      <c r="A10" s="97">
        <v>1</v>
      </c>
      <c r="B10" s="29" t="s">
        <v>197</v>
      </c>
      <c r="C10" s="29" t="s">
        <v>198</v>
      </c>
      <c r="D10" s="29" t="s">
        <v>386</v>
      </c>
      <c r="E10" s="29" t="str">
        <f>"0,6755"</f>
        <v>0,6755</v>
      </c>
      <c r="F10" s="29" t="s">
        <v>168</v>
      </c>
      <c r="G10" s="29" t="s">
        <v>24</v>
      </c>
      <c r="H10" s="134" t="s">
        <v>507</v>
      </c>
      <c r="I10" s="134" t="s">
        <v>500</v>
      </c>
      <c r="J10" s="29" t="s">
        <v>508</v>
      </c>
      <c r="K10" s="29" t="str">
        <f>"1779,9424"</f>
        <v>1779,9424</v>
      </c>
      <c r="L10" s="29" t="s">
        <v>134</v>
      </c>
    </row>
    <row r="11" spans="1:12">
      <c r="A11" s="99">
        <v>2</v>
      </c>
      <c r="B11" s="30" t="s">
        <v>509</v>
      </c>
      <c r="C11" s="30" t="s">
        <v>510</v>
      </c>
      <c r="D11" s="30" t="s">
        <v>511</v>
      </c>
      <c r="E11" s="30" t="str">
        <f>"0,6600"</f>
        <v>0,6600</v>
      </c>
      <c r="F11" s="30" t="s">
        <v>13</v>
      </c>
      <c r="G11" s="30" t="s">
        <v>24</v>
      </c>
      <c r="H11" s="137" t="s">
        <v>25</v>
      </c>
      <c r="I11" s="137" t="s">
        <v>512</v>
      </c>
      <c r="J11" s="30" t="s">
        <v>513</v>
      </c>
      <c r="K11" s="30" t="str">
        <f>"1478,5119"</f>
        <v>1478,5119</v>
      </c>
      <c r="L11" s="30" t="s">
        <v>134</v>
      </c>
    </row>
    <row r="13" spans="1:12" ht="16">
      <c r="B13" s="178" t="s">
        <v>41</v>
      </c>
      <c r="C13" s="178"/>
      <c r="D13" s="178"/>
      <c r="E13" s="178"/>
      <c r="F13" s="178"/>
      <c r="G13" s="178"/>
      <c r="H13" s="178"/>
      <c r="I13" s="178"/>
      <c r="J13" s="178"/>
      <c r="K13" s="178"/>
    </row>
    <row r="14" spans="1:12">
      <c r="A14" s="82">
        <v>1</v>
      </c>
      <c r="B14" s="31" t="s">
        <v>279</v>
      </c>
      <c r="C14" s="31" t="s">
        <v>280</v>
      </c>
      <c r="D14" s="31" t="s">
        <v>389</v>
      </c>
      <c r="E14" s="31" t="str">
        <f>"0,6234"</f>
        <v>0,6234</v>
      </c>
      <c r="F14" s="31" t="s">
        <v>13</v>
      </c>
      <c r="G14" s="31" t="s">
        <v>24</v>
      </c>
      <c r="H14" s="133" t="s">
        <v>320</v>
      </c>
      <c r="I14" s="133" t="s">
        <v>514</v>
      </c>
      <c r="J14" s="31" t="s">
        <v>515</v>
      </c>
      <c r="K14" s="31" t="str">
        <f>"1418,2349"</f>
        <v>1418,2349</v>
      </c>
      <c r="L14" s="31" t="s">
        <v>516</v>
      </c>
    </row>
    <row r="16" spans="1:12" ht="16">
      <c r="B16" s="37"/>
      <c r="C16" s="37"/>
      <c r="D16" s="37"/>
      <c r="E16" s="37"/>
      <c r="F16" s="43"/>
    </row>
    <row r="17" spans="2:6" ht="16">
      <c r="B17" s="37"/>
      <c r="C17" s="37"/>
      <c r="D17" s="37"/>
      <c r="E17" s="37"/>
      <c r="F17" s="43"/>
    </row>
    <row r="18" spans="2:6" ht="16">
      <c r="B18" s="37"/>
      <c r="C18" s="37"/>
      <c r="D18" s="37"/>
      <c r="E18" s="37"/>
      <c r="F18" s="43"/>
    </row>
    <row r="19" spans="2:6" ht="16">
      <c r="B19" s="37"/>
      <c r="C19" s="37"/>
      <c r="D19" s="37"/>
      <c r="E19" s="37"/>
      <c r="F19" s="43"/>
    </row>
    <row r="20" spans="2:6" ht="16">
      <c r="B20" s="37"/>
      <c r="C20" s="37"/>
      <c r="D20" s="37"/>
      <c r="E20" s="37"/>
      <c r="F20" s="43"/>
    </row>
    <row r="21" spans="2:6" ht="16">
      <c r="B21" s="37"/>
      <c r="C21" s="37"/>
      <c r="D21" s="37"/>
      <c r="E21" s="37"/>
      <c r="F21" s="43"/>
    </row>
    <row r="22" spans="2:6" ht="16">
      <c r="B22" s="37"/>
      <c r="C22" s="37"/>
      <c r="D22" s="37"/>
      <c r="E22" s="37"/>
      <c r="F22" s="43"/>
    </row>
    <row r="23" spans="2:6">
      <c r="B23" s="37"/>
      <c r="C23" s="37"/>
      <c r="D23" s="37"/>
      <c r="E23" s="37"/>
      <c r="F23" s="37"/>
    </row>
    <row r="24" spans="2:6" ht="18">
      <c r="B24" s="44"/>
      <c r="C24" s="44"/>
      <c r="D24" s="37"/>
      <c r="E24" s="37"/>
      <c r="F24" s="37"/>
    </row>
    <row r="25" spans="2:6" ht="16">
      <c r="B25" s="45"/>
      <c r="C25" s="45"/>
      <c r="D25" s="37"/>
      <c r="E25" s="37"/>
      <c r="F25" s="37"/>
    </row>
    <row r="26" spans="2:6" ht="14">
      <c r="B26" s="46"/>
      <c r="C26" s="47"/>
      <c r="D26" s="37"/>
      <c r="E26" s="37"/>
      <c r="F26" s="37"/>
    </row>
    <row r="27" spans="2:6" ht="14">
      <c r="B27" s="48"/>
      <c r="C27" s="48"/>
      <c r="D27" s="48"/>
      <c r="E27" s="48"/>
      <c r="F27" s="48"/>
    </row>
    <row r="28" spans="2:6">
      <c r="B28" s="49"/>
      <c r="C28" s="37"/>
      <c r="D28" s="37"/>
      <c r="E28" s="37"/>
      <c r="F28" s="50"/>
    </row>
    <row r="29" spans="2:6">
      <c r="B29" s="49"/>
      <c r="C29" s="37"/>
      <c r="D29" s="37"/>
      <c r="E29" s="37"/>
      <c r="F29" s="50"/>
    </row>
    <row r="30" spans="2:6">
      <c r="B30" s="49"/>
      <c r="C30" s="37"/>
      <c r="D30" s="37"/>
      <c r="E30" s="37"/>
      <c r="F30" s="50"/>
    </row>
    <row r="31" spans="2:6">
      <c r="B31" s="49"/>
      <c r="C31" s="37"/>
      <c r="D31" s="37"/>
      <c r="E31" s="37"/>
      <c r="F31" s="50"/>
    </row>
    <row r="32" spans="2:6">
      <c r="B32" s="49"/>
      <c r="C32" s="37"/>
      <c r="D32" s="37"/>
      <c r="E32" s="37"/>
      <c r="F32" s="50"/>
    </row>
    <row r="33" spans="2:6">
      <c r="B33" s="37"/>
      <c r="C33" s="37"/>
      <c r="D33" s="37"/>
      <c r="E33" s="37"/>
      <c r="F33" s="37"/>
    </row>
    <row r="34" spans="2:6">
      <c r="B34" s="37"/>
      <c r="C34" s="37"/>
      <c r="D34" s="37"/>
      <c r="E34" s="37"/>
      <c r="F34" s="37"/>
    </row>
    <row r="35" spans="2:6">
      <c r="B35" s="37"/>
      <c r="C35" s="37"/>
      <c r="D35" s="37"/>
      <c r="E35" s="37"/>
      <c r="F35" s="37"/>
    </row>
    <row r="36" spans="2:6">
      <c r="B36" s="37"/>
      <c r="C36" s="37"/>
      <c r="D36" s="37"/>
      <c r="E36" s="37"/>
      <c r="F36" s="37"/>
    </row>
  </sheetData>
  <mergeCells count="15">
    <mergeCell ref="B5:K5"/>
    <mergeCell ref="B9:K9"/>
    <mergeCell ref="B13:K13"/>
    <mergeCell ref="A1:L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sqref="A1:L2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2.85546875" style="22" bestFit="1" customWidth="1"/>
    <col min="4" max="4" width="13" style="22" customWidth="1"/>
    <col min="5" max="5" width="8.42578125" style="22" bestFit="1" customWidth="1"/>
    <col min="6" max="6" width="22.7109375" style="22" bestFit="1" customWidth="1"/>
    <col min="7" max="7" width="32.7109375" style="22" bestFit="1" customWidth="1"/>
    <col min="8" max="8" width="7.140625" style="22" customWidth="1"/>
    <col min="9" max="9" width="9" style="22" customWidth="1"/>
    <col min="10" max="10" width="7.85546875" style="22" bestFit="1" customWidth="1"/>
    <col min="11" max="11" width="9.5703125" style="22" bestFit="1" customWidth="1"/>
    <col min="12" max="12" width="14.7109375" style="22" bestFit="1" customWidth="1"/>
  </cols>
  <sheetData>
    <row r="1" spans="1:12" s="1" customFormat="1" ht="15" customHeight="1">
      <c r="A1" s="183" t="s">
        <v>605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1" customFormat="1" ht="79.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2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461</v>
      </c>
      <c r="F3" s="181" t="s">
        <v>7</v>
      </c>
      <c r="G3" s="181" t="s">
        <v>343</v>
      </c>
      <c r="H3" s="181" t="s">
        <v>490</v>
      </c>
      <c r="I3" s="181"/>
      <c r="J3" s="181" t="s">
        <v>491</v>
      </c>
      <c r="K3" s="181" t="s">
        <v>6</v>
      </c>
      <c r="L3" s="216" t="s">
        <v>5</v>
      </c>
    </row>
    <row r="4" spans="1:12" s="2" customFormat="1" ht="21" customHeight="1" thickBot="1">
      <c r="A4" s="192"/>
      <c r="B4" s="189"/>
      <c r="C4" s="190"/>
      <c r="D4" s="190"/>
      <c r="E4" s="182"/>
      <c r="F4" s="182"/>
      <c r="G4" s="182"/>
      <c r="H4" s="115" t="s">
        <v>492</v>
      </c>
      <c r="I4" s="150" t="s">
        <v>493</v>
      </c>
      <c r="J4" s="182"/>
      <c r="K4" s="182"/>
      <c r="L4" s="217"/>
    </row>
    <row r="5" spans="1:12" ht="16">
      <c r="B5" s="187" t="s">
        <v>174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1:12">
      <c r="A6" s="82">
        <v>1</v>
      </c>
      <c r="B6" s="31" t="s">
        <v>517</v>
      </c>
      <c r="C6" s="31" t="s">
        <v>518</v>
      </c>
      <c r="D6" s="31" t="s">
        <v>519</v>
      </c>
      <c r="E6" s="31" t="str">
        <f>"1,1178"</f>
        <v>1,1178</v>
      </c>
      <c r="F6" s="31" t="s">
        <v>13</v>
      </c>
      <c r="G6" s="31" t="s">
        <v>601</v>
      </c>
      <c r="H6" s="133" t="s">
        <v>520</v>
      </c>
      <c r="I6" s="133" t="s">
        <v>521</v>
      </c>
      <c r="J6" s="31" t="s">
        <v>522</v>
      </c>
      <c r="K6" s="31" t="str">
        <f>"1106,6220"</f>
        <v>1106,6220</v>
      </c>
      <c r="L6" s="31" t="s">
        <v>523</v>
      </c>
    </row>
    <row r="8" spans="1:12" ht="16">
      <c r="B8" s="178" t="s">
        <v>10</v>
      </c>
      <c r="C8" s="178"/>
      <c r="D8" s="178"/>
      <c r="E8" s="178"/>
      <c r="F8" s="178"/>
      <c r="G8" s="178"/>
      <c r="H8" s="178"/>
      <c r="I8" s="178"/>
      <c r="J8" s="178"/>
      <c r="K8" s="178"/>
    </row>
    <row r="9" spans="1:12">
      <c r="A9" s="82">
        <v>1</v>
      </c>
      <c r="B9" s="31" t="s">
        <v>524</v>
      </c>
      <c r="C9" s="31" t="s">
        <v>525</v>
      </c>
      <c r="D9" s="31" t="s">
        <v>526</v>
      </c>
      <c r="E9" s="31" t="str">
        <f>"1,0684"</f>
        <v>1,0684</v>
      </c>
      <c r="F9" s="31" t="s">
        <v>168</v>
      </c>
      <c r="G9" s="31" t="s">
        <v>24</v>
      </c>
      <c r="H9" s="133" t="s">
        <v>520</v>
      </c>
      <c r="I9" s="133" t="s">
        <v>527</v>
      </c>
      <c r="J9" s="31">
        <v>907.5</v>
      </c>
      <c r="K9" s="31" t="str">
        <f>"969,5730"</f>
        <v>969,5730</v>
      </c>
      <c r="L9" s="31" t="s">
        <v>528</v>
      </c>
    </row>
    <row r="11" spans="1:12" ht="16">
      <c r="B11" s="37"/>
      <c r="C11" s="37"/>
      <c r="D11" s="37"/>
      <c r="E11" s="37"/>
      <c r="F11" s="43"/>
      <c r="G11" s="37"/>
    </row>
    <row r="12" spans="1:12" ht="16">
      <c r="B12" s="37"/>
      <c r="C12" s="37"/>
      <c r="D12" s="37"/>
      <c r="E12" s="37"/>
      <c r="F12" s="43"/>
      <c r="G12" s="37"/>
    </row>
    <row r="13" spans="1:12" ht="16">
      <c r="B13" s="37"/>
      <c r="C13" s="37"/>
      <c r="D13" s="37"/>
      <c r="E13" s="37"/>
      <c r="F13" s="43"/>
      <c r="G13" s="37"/>
    </row>
    <row r="14" spans="1:12" ht="16">
      <c r="B14" s="37"/>
      <c r="C14" s="37"/>
      <c r="D14" s="37"/>
      <c r="E14" s="37"/>
      <c r="F14" s="43"/>
      <c r="G14" s="37"/>
    </row>
    <row r="15" spans="1:12" ht="16">
      <c r="B15" s="37"/>
      <c r="C15" s="37"/>
      <c r="D15" s="37"/>
      <c r="E15" s="37"/>
      <c r="F15" s="43"/>
      <c r="G15" s="37"/>
    </row>
    <row r="16" spans="1:12" ht="16">
      <c r="B16" s="37"/>
      <c r="C16" s="37"/>
      <c r="D16" s="37"/>
      <c r="E16" s="37"/>
      <c r="F16" s="43"/>
      <c r="G16" s="37"/>
    </row>
    <row r="17" spans="2:7" ht="16">
      <c r="B17" s="37"/>
      <c r="C17" s="37"/>
      <c r="D17" s="37"/>
      <c r="E17" s="37"/>
      <c r="F17" s="43"/>
      <c r="G17" s="37"/>
    </row>
    <row r="18" spans="2:7">
      <c r="B18" s="37"/>
      <c r="C18" s="37"/>
      <c r="D18" s="37"/>
      <c r="E18" s="37"/>
      <c r="F18" s="37"/>
      <c r="G18" s="37"/>
    </row>
    <row r="19" spans="2:7" ht="18">
      <c r="B19" s="44"/>
      <c r="C19" s="44"/>
      <c r="D19" s="37"/>
      <c r="E19" s="37"/>
      <c r="F19" s="37"/>
      <c r="G19" s="37"/>
    </row>
    <row r="20" spans="2:7" ht="16">
      <c r="B20" s="45"/>
      <c r="C20" s="45"/>
      <c r="D20" s="37"/>
      <c r="E20" s="37"/>
      <c r="F20" s="37"/>
      <c r="G20" s="37"/>
    </row>
    <row r="21" spans="2:7" ht="14">
      <c r="B21" s="46"/>
      <c r="C21" s="47"/>
      <c r="D21" s="37"/>
      <c r="E21" s="37"/>
      <c r="F21" s="37"/>
      <c r="G21" s="37"/>
    </row>
    <row r="22" spans="2:7" ht="14">
      <c r="B22" s="48"/>
      <c r="C22" s="48"/>
      <c r="D22" s="48"/>
      <c r="E22" s="48"/>
      <c r="F22" s="48"/>
      <c r="G22" s="37"/>
    </row>
    <row r="23" spans="2:7">
      <c r="B23" s="49"/>
      <c r="C23" s="37"/>
      <c r="D23" s="37"/>
      <c r="E23" s="37"/>
      <c r="F23" s="50"/>
      <c r="G23" s="37"/>
    </row>
    <row r="24" spans="2:7">
      <c r="B24" s="49"/>
      <c r="C24" s="37"/>
      <c r="D24" s="37"/>
      <c r="E24" s="37"/>
      <c r="F24" s="50"/>
      <c r="G24" s="37"/>
    </row>
    <row r="25" spans="2:7">
      <c r="B25" s="37"/>
      <c r="C25" s="37"/>
      <c r="D25" s="37"/>
      <c r="E25" s="37"/>
      <c r="F25" s="37"/>
      <c r="G25" s="37"/>
    </row>
    <row r="26" spans="2:7">
      <c r="B26" s="37"/>
      <c r="C26" s="37"/>
      <c r="D26" s="37"/>
      <c r="E26" s="37"/>
      <c r="F26" s="37"/>
      <c r="G26" s="37"/>
    </row>
    <row r="27" spans="2:7">
      <c r="B27" s="37"/>
      <c r="C27" s="37"/>
      <c r="D27" s="37"/>
      <c r="E27" s="37"/>
      <c r="F27" s="37"/>
      <c r="G27" s="37"/>
    </row>
    <row r="28" spans="2:7">
      <c r="B28" s="37"/>
      <c r="C28" s="37"/>
      <c r="D28" s="37"/>
      <c r="E28" s="37"/>
      <c r="F28" s="37"/>
      <c r="G28" s="37"/>
    </row>
  </sheetData>
  <mergeCells count="14">
    <mergeCell ref="A1:L2"/>
    <mergeCell ref="K3:K4"/>
    <mergeCell ref="L3:L4"/>
    <mergeCell ref="B5:K5"/>
    <mergeCell ref="B8:K8"/>
    <mergeCell ref="F3:F4"/>
    <mergeCell ref="G3:G4"/>
    <mergeCell ref="H3:I3"/>
    <mergeCell ref="J3:J4"/>
    <mergeCell ref="A3:A4"/>
    <mergeCell ref="B3:B4"/>
    <mergeCell ref="C3:C4"/>
    <mergeCell ref="D3:D4"/>
    <mergeCell ref="E3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D26" sqref="D26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8.42578125" style="22" bestFit="1" customWidth="1"/>
    <col min="4" max="4" width="10.5703125" style="22" bestFit="1" customWidth="1"/>
    <col min="5" max="5" width="8.42578125" style="22" bestFit="1" customWidth="1"/>
    <col min="6" max="6" width="22.7109375" style="22" bestFit="1" customWidth="1"/>
    <col min="7" max="7" width="28" style="22" bestFit="1" customWidth="1"/>
    <col min="8" max="10" width="5.5703125" style="102" bestFit="1" customWidth="1"/>
    <col min="11" max="11" width="4.5703125" style="102" bestFit="1" customWidth="1"/>
    <col min="12" max="14" width="5.5703125" style="102" bestFit="1" customWidth="1"/>
    <col min="15" max="15" width="4.5703125" style="102" bestFit="1" customWidth="1"/>
    <col min="16" max="18" width="5.5703125" style="102" bestFit="1" customWidth="1"/>
    <col min="19" max="19" width="4.5703125" style="102" bestFit="1" customWidth="1"/>
    <col min="20" max="20" width="7.85546875" style="102" bestFit="1" customWidth="1"/>
    <col min="21" max="21" width="8.5703125" style="102" bestFit="1" customWidth="1"/>
    <col min="22" max="22" width="21.140625" style="22" bestFit="1" customWidth="1"/>
  </cols>
  <sheetData>
    <row r="1" spans="1:22" s="1" customFormat="1" ht="15" customHeight="1">
      <c r="A1" s="183" t="s">
        <v>591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</row>
    <row r="2" spans="1:22" s="1" customFormat="1" ht="114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</row>
    <row r="3" spans="1:22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1</v>
      </c>
      <c r="I3" s="181"/>
      <c r="J3" s="181"/>
      <c r="K3" s="181"/>
      <c r="L3" s="181" t="s">
        <v>2</v>
      </c>
      <c r="M3" s="181"/>
      <c r="N3" s="181"/>
      <c r="O3" s="181"/>
      <c r="P3" s="181" t="s">
        <v>3</v>
      </c>
      <c r="Q3" s="181"/>
      <c r="R3" s="181"/>
      <c r="S3" s="181"/>
      <c r="T3" s="181" t="s">
        <v>4</v>
      </c>
      <c r="U3" s="181" t="s">
        <v>6</v>
      </c>
      <c r="V3" s="193" t="s">
        <v>5</v>
      </c>
    </row>
    <row r="4" spans="1:22" s="2" customFormat="1" ht="21" customHeight="1" thickBot="1">
      <c r="A4" s="192"/>
      <c r="B4" s="189"/>
      <c r="C4" s="190"/>
      <c r="D4" s="190"/>
      <c r="E4" s="182"/>
      <c r="F4" s="182"/>
      <c r="G4" s="182"/>
      <c r="H4" s="100">
        <v>1</v>
      </c>
      <c r="I4" s="100">
        <v>2</v>
      </c>
      <c r="J4" s="100">
        <v>3</v>
      </c>
      <c r="K4" s="100" t="s">
        <v>8</v>
      </c>
      <c r="L4" s="100">
        <v>1</v>
      </c>
      <c r="M4" s="100">
        <v>2</v>
      </c>
      <c r="N4" s="100">
        <v>3</v>
      </c>
      <c r="O4" s="100" t="s">
        <v>8</v>
      </c>
      <c r="P4" s="100">
        <v>1</v>
      </c>
      <c r="Q4" s="100">
        <v>2</v>
      </c>
      <c r="R4" s="100">
        <v>3</v>
      </c>
      <c r="S4" s="100" t="s">
        <v>8</v>
      </c>
      <c r="T4" s="182"/>
      <c r="U4" s="182"/>
      <c r="V4" s="194"/>
    </row>
    <row r="5" spans="1:22" ht="16">
      <c r="B5" s="187" t="s">
        <v>29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1:22">
      <c r="A6" s="82">
        <v>1</v>
      </c>
      <c r="B6" s="31" t="s">
        <v>106</v>
      </c>
      <c r="C6" s="31" t="s">
        <v>107</v>
      </c>
      <c r="D6" s="31" t="s">
        <v>439</v>
      </c>
      <c r="E6" s="31" t="str">
        <f>"0,7330"</f>
        <v>0,7330</v>
      </c>
      <c r="F6" s="31" t="s">
        <v>13</v>
      </c>
      <c r="G6" s="31" t="s">
        <v>108</v>
      </c>
      <c r="H6" s="103" t="s">
        <v>48</v>
      </c>
      <c r="I6" s="103" t="s">
        <v>49</v>
      </c>
      <c r="J6" s="103" t="s">
        <v>82</v>
      </c>
      <c r="K6" s="101"/>
      <c r="L6" s="103" t="s">
        <v>109</v>
      </c>
      <c r="M6" s="103" t="s">
        <v>19</v>
      </c>
      <c r="N6" s="104" t="s">
        <v>16</v>
      </c>
      <c r="O6" s="101"/>
      <c r="P6" s="103" t="s">
        <v>60</v>
      </c>
      <c r="Q6" s="103" t="s">
        <v>92</v>
      </c>
      <c r="R6" s="104" t="s">
        <v>33</v>
      </c>
      <c r="S6" s="101"/>
      <c r="T6" s="93" t="s">
        <v>122</v>
      </c>
      <c r="U6" s="93" t="str">
        <f>"333,5150"</f>
        <v>333,5150</v>
      </c>
      <c r="V6" s="31" t="s">
        <v>134</v>
      </c>
    </row>
    <row r="8" spans="1:22" ht="16">
      <c r="B8" s="178" t="s">
        <v>41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2">
      <c r="A9" s="82">
        <v>1</v>
      </c>
      <c r="B9" s="31" t="s">
        <v>110</v>
      </c>
      <c r="C9" s="31" t="s">
        <v>111</v>
      </c>
      <c r="D9" s="31" t="s">
        <v>440</v>
      </c>
      <c r="E9" s="31" t="str">
        <f>"0,6432"</f>
        <v>0,6432</v>
      </c>
      <c r="F9" s="31" t="s">
        <v>13</v>
      </c>
      <c r="G9" s="31" t="s">
        <v>24</v>
      </c>
      <c r="H9" s="103" t="s">
        <v>33</v>
      </c>
      <c r="I9" s="103" t="s">
        <v>112</v>
      </c>
      <c r="J9" s="103" t="s">
        <v>45</v>
      </c>
      <c r="K9" s="101"/>
      <c r="L9" s="103" t="s">
        <v>20</v>
      </c>
      <c r="M9" s="103" t="s">
        <v>91</v>
      </c>
      <c r="N9" s="103" t="s">
        <v>48</v>
      </c>
      <c r="O9" s="101"/>
      <c r="P9" s="103" t="s">
        <v>112</v>
      </c>
      <c r="Q9" s="103" t="s">
        <v>45</v>
      </c>
      <c r="R9" s="103" t="s">
        <v>39</v>
      </c>
      <c r="S9" s="101"/>
      <c r="T9" s="93" t="s">
        <v>124</v>
      </c>
      <c r="U9" s="93" t="str">
        <f>"379,4880"</f>
        <v>379,4880</v>
      </c>
      <c r="V9" s="31" t="s">
        <v>134</v>
      </c>
    </row>
    <row r="11" spans="1:22" ht="16">
      <c r="B11" s="178" t="s">
        <v>113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</row>
    <row r="12" spans="1:22">
      <c r="A12" s="82">
        <v>1</v>
      </c>
      <c r="B12" s="31" t="s">
        <v>114</v>
      </c>
      <c r="C12" s="31" t="s">
        <v>115</v>
      </c>
      <c r="D12" s="31" t="s">
        <v>441</v>
      </c>
      <c r="E12" s="31" t="str">
        <f>"0,6269"</f>
        <v>0,6269</v>
      </c>
      <c r="F12" s="31" t="s">
        <v>116</v>
      </c>
      <c r="G12" s="31" t="s">
        <v>24</v>
      </c>
      <c r="H12" s="103" t="s">
        <v>60</v>
      </c>
      <c r="I12" s="103" t="s">
        <v>117</v>
      </c>
      <c r="J12" s="103" t="s">
        <v>33</v>
      </c>
      <c r="K12" s="101"/>
      <c r="L12" s="103" t="s">
        <v>96</v>
      </c>
      <c r="M12" s="103" t="s">
        <v>21</v>
      </c>
      <c r="N12" s="104" t="s">
        <v>99</v>
      </c>
      <c r="O12" s="101"/>
      <c r="P12" s="103" t="s">
        <v>83</v>
      </c>
      <c r="Q12" s="103" t="s">
        <v>34</v>
      </c>
      <c r="R12" s="103" t="s">
        <v>45</v>
      </c>
      <c r="S12" s="101"/>
      <c r="T12" s="93" t="s">
        <v>126</v>
      </c>
      <c r="U12" s="93" t="str">
        <f>"341,6605"</f>
        <v>341,6605</v>
      </c>
      <c r="V12" s="31" t="s">
        <v>443</v>
      </c>
    </row>
    <row r="14" spans="1:22" ht="16">
      <c r="B14" s="178" t="s">
        <v>62</v>
      </c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</row>
    <row r="15" spans="1:22">
      <c r="A15" s="82">
        <v>1</v>
      </c>
      <c r="B15" s="31" t="s">
        <v>118</v>
      </c>
      <c r="C15" s="31" t="s">
        <v>119</v>
      </c>
      <c r="D15" s="31" t="s">
        <v>442</v>
      </c>
      <c r="E15" s="31" t="str">
        <f>"0,5903"</f>
        <v>0,5903</v>
      </c>
      <c r="F15" s="31" t="s">
        <v>13</v>
      </c>
      <c r="G15" s="31" t="s">
        <v>24</v>
      </c>
      <c r="H15" s="103" t="s">
        <v>112</v>
      </c>
      <c r="I15" s="103" t="s">
        <v>45</v>
      </c>
      <c r="J15" s="103" t="s">
        <v>39</v>
      </c>
      <c r="K15" s="101"/>
      <c r="L15" s="104" t="s">
        <v>120</v>
      </c>
      <c r="M15" s="103" t="s">
        <v>120</v>
      </c>
      <c r="N15" s="104" t="s">
        <v>92</v>
      </c>
      <c r="O15" s="101"/>
      <c r="P15" s="103" t="s">
        <v>47</v>
      </c>
      <c r="Q15" s="104" t="s">
        <v>121</v>
      </c>
      <c r="R15" s="103" t="s">
        <v>121</v>
      </c>
      <c r="S15" s="101"/>
      <c r="T15" s="93" t="s">
        <v>77</v>
      </c>
      <c r="U15" s="93" t="str">
        <f>"389,5980"</f>
        <v>389,5980</v>
      </c>
      <c r="V15" s="31" t="s">
        <v>134</v>
      </c>
    </row>
    <row r="17" spans="2:7" ht="16">
      <c r="B17" s="37"/>
      <c r="C17" s="37"/>
      <c r="D17" s="37"/>
      <c r="E17" s="37"/>
      <c r="F17" s="43"/>
      <c r="G17" s="37"/>
    </row>
    <row r="18" spans="2:7" ht="16">
      <c r="B18" s="37"/>
      <c r="C18" s="37"/>
      <c r="D18" s="37"/>
      <c r="E18" s="37"/>
      <c r="F18" s="43"/>
      <c r="G18" s="37"/>
    </row>
    <row r="19" spans="2:7" ht="16">
      <c r="B19" s="37"/>
      <c r="C19" s="37"/>
      <c r="D19" s="37"/>
      <c r="E19" s="37"/>
      <c r="F19" s="43"/>
      <c r="G19" s="37"/>
    </row>
    <row r="20" spans="2:7" ht="16">
      <c r="B20" s="37"/>
      <c r="C20" s="37"/>
      <c r="D20" s="37"/>
      <c r="E20" s="37"/>
      <c r="F20" s="43"/>
      <c r="G20" s="37"/>
    </row>
    <row r="21" spans="2:7" ht="16">
      <c r="B21" s="37"/>
      <c r="C21" s="37"/>
      <c r="D21" s="37"/>
      <c r="E21" s="37"/>
      <c r="F21" s="43"/>
      <c r="G21" s="37"/>
    </row>
    <row r="22" spans="2:7" ht="16">
      <c r="B22" s="37"/>
      <c r="C22" s="37"/>
      <c r="D22" s="37"/>
      <c r="E22" s="37"/>
      <c r="F22" s="43"/>
      <c r="G22" s="37"/>
    </row>
    <row r="23" spans="2:7" ht="16">
      <c r="B23" s="37"/>
      <c r="C23" s="37"/>
      <c r="D23" s="37"/>
      <c r="E23" s="37"/>
      <c r="F23" s="43"/>
      <c r="G23" s="37"/>
    </row>
    <row r="24" spans="2:7">
      <c r="B24" s="37"/>
      <c r="C24" s="37"/>
      <c r="D24" s="37"/>
      <c r="E24" s="37"/>
      <c r="F24" s="37"/>
      <c r="G24" s="37"/>
    </row>
    <row r="25" spans="2:7" ht="18">
      <c r="B25" s="44"/>
      <c r="C25" s="44"/>
      <c r="D25" s="37"/>
      <c r="E25" s="37"/>
      <c r="F25" s="37"/>
      <c r="G25" s="37"/>
    </row>
    <row r="26" spans="2:7" ht="16">
      <c r="B26" s="45"/>
      <c r="C26" s="45"/>
      <c r="D26" s="37"/>
      <c r="E26" s="37"/>
      <c r="F26" s="37"/>
      <c r="G26" s="37"/>
    </row>
    <row r="27" spans="2:7" ht="14">
      <c r="B27" s="46"/>
      <c r="C27" s="47"/>
      <c r="D27" s="37"/>
      <c r="E27" s="37"/>
      <c r="F27" s="37"/>
      <c r="G27" s="37"/>
    </row>
    <row r="28" spans="2:7" ht="14">
      <c r="B28" s="48"/>
      <c r="C28" s="48"/>
      <c r="D28" s="48"/>
      <c r="E28" s="48"/>
      <c r="F28" s="48"/>
      <c r="G28" s="37"/>
    </row>
    <row r="29" spans="2:7">
      <c r="B29" s="49"/>
      <c r="C29" s="37"/>
      <c r="D29" s="37"/>
      <c r="E29" s="37"/>
      <c r="F29" s="50"/>
      <c r="G29" s="37"/>
    </row>
    <row r="30" spans="2:7">
      <c r="B30" s="37"/>
      <c r="C30" s="37"/>
      <c r="D30" s="37"/>
      <c r="E30" s="37"/>
      <c r="F30" s="37"/>
      <c r="G30" s="37"/>
    </row>
    <row r="31" spans="2:7" ht="14">
      <c r="B31" s="46"/>
      <c r="C31" s="47"/>
      <c r="D31" s="37"/>
      <c r="E31" s="37"/>
      <c r="F31" s="37"/>
      <c r="G31" s="37"/>
    </row>
    <row r="32" spans="2:7" ht="14">
      <c r="B32" s="48"/>
      <c r="C32" s="48"/>
      <c r="D32" s="48"/>
      <c r="E32" s="48"/>
      <c r="F32" s="48"/>
      <c r="G32" s="37"/>
    </row>
    <row r="33" spans="2:7">
      <c r="B33" s="49"/>
      <c r="C33" s="37"/>
      <c r="D33" s="37"/>
      <c r="E33" s="37"/>
      <c r="F33" s="50"/>
      <c r="G33" s="37"/>
    </row>
    <row r="34" spans="2:7">
      <c r="B34" s="49"/>
      <c r="C34" s="37"/>
      <c r="D34" s="37"/>
      <c r="E34" s="37"/>
      <c r="F34" s="50"/>
      <c r="G34" s="37"/>
    </row>
    <row r="35" spans="2:7">
      <c r="B35" s="49"/>
      <c r="C35" s="37"/>
      <c r="D35" s="37"/>
      <c r="E35" s="37"/>
      <c r="F35" s="50"/>
      <c r="G35" s="37"/>
    </row>
    <row r="36" spans="2:7">
      <c r="B36" s="37"/>
      <c r="C36" s="37"/>
      <c r="D36" s="37"/>
      <c r="E36" s="37"/>
      <c r="F36" s="37"/>
      <c r="G36" s="37"/>
    </row>
    <row r="37" spans="2:7">
      <c r="B37" s="37"/>
      <c r="C37" s="37"/>
      <c r="D37" s="37"/>
      <c r="E37" s="37"/>
      <c r="F37" s="37"/>
      <c r="G37" s="37"/>
    </row>
    <row r="38" spans="2:7">
      <c r="B38" s="37"/>
      <c r="C38" s="37"/>
      <c r="D38" s="37"/>
      <c r="E38" s="37"/>
      <c r="F38" s="37"/>
      <c r="G38" s="37"/>
    </row>
    <row r="39" spans="2:7">
      <c r="B39" s="37"/>
      <c r="C39" s="37"/>
      <c r="D39" s="37"/>
      <c r="E39" s="37"/>
      <c r="F39" s="37"/>
      <c r="G39" s="37"/>
    </row>
    <row r="40" spans="2:7">
      <c r="B40" s="37"/>
      <c r="C40" s="37"/>
      <c r="D40" s="37"/>
      <c r="E40" s="37"/>
      <c r="F40" s="37"/>
      <c r="G40" s="37"/>
    </row>
    <row r="41" spans="2:7">
      <c r="B41" s="37"/>
      <c r="C41" s="37"/>
      <c r="D41" s="37"/>
      <c r="E41" s="37"/>
      <c r="F41" s="37"/>
      <c r="G41" s="37"/>
    </row>
    <row r="42" spans="2:7">
      <c r="B42" s="37"/>
      <c r="C42" s="37"/>
      <c r="D42" s="37"/>
      <c r="E42" s="37"/>
      <c r="F42" s="37"/>
      <c r="G42" s="37"/>
    </row>
    <row r="43" spans="2:7">
      <c r="B43" s="37"/>
      <c r="C43" s="37"/>
      <c r="D43" s="37"/>
      <c r="E43" s="37"/>
      <c r="F43" s="37"/>
      <c r="G43" s="37"/>
    </row>
    <row r="44" spans="2:7">
      <c r="B44" s="37"/>
      <c r="C44" s="37"/>
      <c r="D44" s="37"/>
      <c r="E44" s="37"/>
      <c r="F44" s="37"/>
      <c r="G44" s="37"/>
    </row>
    <row r="45" spans="2:7">
      <c r="B45" s="37"/>
      <c r="C45" s="37"/>
      <c r="D45" s="37"/>
      <c r="E45" s="37"/>
      <c r="F45" s="37"/>
      <c r="G45" s="37"/>
    </row>
    <row r="46" spans="2:7">
      <c r="B46" s="37"/>
      <c r="C46" s="37"/>
      <c r="D46" s="37"/>
      <c r="E46" s="37"/>
      <c r="F46" s="37"/>
      <c r="G46" s="37"/>
    </row>
    <row r="47" spans="2:7">
      <c r="B47" s="37"/>
      <c r="C47" s="37"/>
      <c r="D47" s="37"/>
      <c r="E47" s="37"/>
      <c r="F47" s="37"/>
      <c r="G47" s="37"/>
    </row>
    <row r="48" spans="2:7">
      <c r="B48" s="37"/>
      <c r="C48" s="37"/>
      <c r="D48" s="37"/>
      <c r="E48" s="37"/>
      <c r="F48" s="37"/>
      <c r="G48" s="37"/>
    </row>
    <row r="49" spans="2:7">
      <c r="B49" s="37"/>
      <c r="C49" s="37"/>
      <c r="D49" s="37"/>
      <c r="E49" s="37"/>
      <c r="F49" s="37"/>
      <c r="G49" s="37"/>
    </row>
    <row r="50" spans="2:7">
      <c r="B50" s="37"/>
      <c r="C50" s="37"/>
      <c r="D50" s="37"/>
      <c r="E50" s="37"/>
      <c r="F50" s="37"/>
      <c r="G50" s="37"/>
    </row>
    <row r="51" spans="2:7">
      <c r="B51" s="37"/>
      <c r="C51" s="37"/>
      <c r="D51" s="37"/>
      <c r="E51" s="37"/>
      <c r="F51" s="37"/>
      <c r="G51" s="37"/>
    </row>
    <row r="52" spans="2:7">
      <c r="B52" s="37"/>
      <c r="C52" s="37"/>
      <c r="D52" s="37"/>
      <c r="E52" s="37"/>
      <c r="F52" s="37"/>
      <c r="G52" s="37"/>
    </row>
    <row r="53" spans="2:7">
      <c r="B53" s="37"/>
      <c r="C53" s="37"/>
      <c r="D53" s="37"/>
      <c r="E53" s="37"/>
      <c r="F53" s="37"/>
      <c r="G53" s="37"/>
    </row>
  </sheetData>
  <mergeCells count="18">
    <mergeCell ref="A1:V2"/>
    <mergeCell ref="A3:A4"/>
    <mergeCell ref="B3:B4"/>
    <mergeCell ref="C3:C4"/>
    <mergeCell ref="D3:D4"/>
    <mergeCell ref="E3:E4"/>
    <mergeCell ref="F3:F4"/>
    <mergeCell ref="B14:U14"/>
    <mergeCell ref="T3:T4"/>
    <mergeCell ref="U3:U4"/>
    <mergeCell ref="V3:V4"/>
    <mergeCell ref="B5:U5"/>
    <mergeCell ref="B8:U8"/>
    <mergeCell ref="B11:U11"/>
    <mergeCell ref="G3:G4"/>
    <mergeCell ref="H3:K3"/>
    <mergeCell ref="L3:O3"/>
    <mergeCell ref="P3:S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G46" sqref="G46"/>
    </sheetView>
  </sheetViews>
  <sheetFormatPr baseColWidth="10" defaultColWidth="8.7109375" defaultRowHeight="13" x14ac:dyDescent="0"/>
  <cols>
    <col min="1" max="1" width="8.7109375" style="114"/>
    <col min="2" max="2" width="28.28515625" style="144" bestFit="1" customWidth="1"/>
    <col min="3" max="3" width="28.42578125" style="4" bestFit="1" customWidth="1"/>
    <col min="4" max="4" width="13" style="4" customWidth="1"/>
    <col min="5" max="5" width="8.42578125" style="1" bestFit="1" customWidth="1"/>
    <col min="6" max="6" width="22.7109375" style="4" bestFit="1" customWidth="1"/>
    <col min="7" max="7" width="26" style="4" bestFit="1" customWidth="1"/>
    <col min="8" max="8" width="8.5703125" style="1" customWidth="1"/>
    <col min="9" max="9" width="10" style="1" customWidth="1"/>
    <col min="10" max="10" width="9" style="3" customWidth="1"/>
    <col min="11" max="11" width="9.5703125" style="1" bestFit="1" customWidth="1"/>
    <col min="12" max="12" width="16" style="4" bestFit="1" customWidth="1"/>
    <col min="13" max="16384" width="8.7109375" style="1"/>
  </cols>
  <sheetData>
    <row r="1" spans="1:12" ht="15" customHeight="1">
      <c r="A1" s="183" t="s">
        <v>606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ht="83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2" s="2" customFormat="1" ht="12.75" customHeight="1" thickBot="1">
      <c r="A3" s="191" t="s">
        <v>339</v>
      </c>
      <c r="B3" s="188" t="s">
        <v>0</v>
      </c>
      <c r="C3" s="190" t="s">
        <v>341</v>
      </c>
      <c r="D3" s="218" t="s">
        <v>342</v>
      </c>
      <c r="E3" s="181" t="s">
        <v>461</v>
      </c>
      <c r="F3" s="181" t="s">
        <v>7</v>
      </c>
      <c r="G3" s="181" t="s">
        <v>343</v>
      </c>
      <c r="H3" s="181" t="s">
        <v>490</v>
      </c>
      <c r="I3" s="181"/>
      <c r="J3" s="181" t="s">
        <v>491</v>
      </c>
      <c r="K3" s="181" t="s">
        <v>6</v>
      </c>
      <c r="L3" s="216" t="s">
        <v>5</v>
      </c>
    </row>
    <row r="4" spans="1:12" s="2" customFormat="1" ht="21" customHeight="1" thickBot="1">
      <c r="A4" s="192"/>
      <c r="B4" s="199"/>
      <c r="C4" s="190"/>
      <c r="D4" s="219"/>
      <c r="E4" s="182"/>
      <c r="F4" s="182"/>
      <c r="G4" s="182"/>
      <c r="H4" s="115" t="s">
        <v>492</v>
      </c>
      <c r="I4" s="150" t="s">
        <v>493</v>
      </c>
      <c r="J4" s="182"/>
      <c r="K4" s="182"/>
      <c r="L4" s="217"/>
    </row>
    <row r="5" spans="1:12" ht="16">
      <c r="B5" s="197" t="s">
        <v>142</v>
      </c>
      <c r="C5" s="198"/>
      <c r="D5" s="198"/>
      <c r="E5" s="198"/>
      <c r="F5" s="198"/>
      <c r="G5" s="198"/>
      <c r="H5" s="198"/>
      <c r="I5" s="198"/>
      <c r="J5" s="197"/>
      <c r="K5" s="198"/>
    </row>
    <row r="6" spans="1:12">
      <c r="A6" s="118" t="s">
        <v>340</v>
      </c>
      <c r="B6" s="140" t="s">
        <v>529</v>
      </c>
      <c r="C6" s="9" t="s">
        <v>530</v>
      </c>
      <c r="D6" s="9" t="s">
        <v>531</v>
      </c>
      <c r="E6" s="8" t="str">
        <f>"0,8440"</f>
        <v>0,8440</v>
      </c>
      <c r="F6" s="9" t="s">
        <v>168</v>
      </c>
      <c r="G6" s="9" t="s">
        <v>24</v>
      </c>
      <c r="H6" s="141" t="s">
        <v>27</v>
      </c>
      <c r="I6" s="141" t="s">
        <v>532</v>
      </c>
      <c r="J6" s="7" t="s">
        <v>533</v>
      </c>
      <c r="K6" s="8" t="str">
        <f>"1569,7471"</f>
        <v>1569,7471</v>
      </c>
      <c r="L6" s="9" t="s">
        <v>534</v>
      </c>
    </row>
    <row r="8" spans="1:12" ht="16">
      <c r="B8" s="195" t="s">
        <v>165</v>
      </c>
      <c r="C8" s="196"/>
      <c r="D8" s="196"/>
      <c r="E8" s="196"/>
      <c r="F8" s="196"/>
      <c r="G8" s="196"/>
      <c r="H8" s="196"/>
      <c r="I8" s="196"/>
      <c r="J8" s="195"/>
      <c r="K8" s="196"/>
    </row>
    <row r="9" spans="1:12">
      <c r="A9" s="120" t="s">
        <v>340</v>
      </c>
      <c r="B9" s="151" t="s">
        <v>535</v>
      </c>
      <c r="C9" s="12" t="s">
        <v>536</v>
      </c>
      <c r="D9" s="12" t="s">
        <v>474</v>
      </c>
      <c r="E9" s="11" t="str">
        <f>"0,6768"</f>
        <v>0,6768</v>
      </c>
      <c r="F9" s="12" t="s">
        <v>13</v>
      </c>
      <c r="G9" s="12" t="s">
        <v>24</v>
      </c>
      <c r="H9" s="152" t="s">
        <v>507</v>
      </c>
      <c r="I9" s="152" t="s">
        <v>537</v>
      </c>
      <c r="J9" s="10" t="s">
        <v>538</v>
      </c>
      <c r="K9" s="11" t="str">
        <f>"1520,9956"</f>
        <v>1520,9956</v>
      </c>
      <c r="L9" s="12" t="s">
        <v>134</v>
      </c>
    </row>
    <row r="10" spans="1:12">
      <c r="A10" s="124" t="s">
        <v>340</v>
      </c>
      <c r="B10" s="153" t="s">
        <v>197</v>
      </c>
      <c r="C10" s="18" t="s">
        <v>198</v>
      </c>
      <c r="D10" s="18" t="s">
        <v>386</v>
      </c>
      <c r="E10" s="17" t="str">
        <f>"0,6755"</f>
        <v>0,6755</v>
      </c>
      <c r="F10" s="18" t="s">
        <v>168</v>
      </c>
      <c r="G10" s="18" t="s">
        <v>24</v>
      </c>
      <c r="H10" s="154" t="s">
        <v>507</v>
      </c>
      <c r="I10" s="154" t="s">
        <v>500</v>
      </c>
      <c r="J10" s="16" t="s">
        <v>539</v>
      </c>
      <c r="K10" s="17" t="str">
        <f>"1779,9424"</f>
        <v>1779,9424</v>
      </c>
      <c r="L10" s="12" t="s">
        <v>134</v>
      </c>
    </row>
    <row r="11" spans="1:12">
      <c r="A11" s="124" t="s">
        <v>367</v>
      </c>
      <c r="B11" s="153" t="s">
        <v>193</v>
      </c>
      <c r="C11" s="18" t="s">
        <v>194</v>
      </c>
      <c r="D11" s="18" t="s">
        <v>403</v>
      </c>
      <c r="E11" s="17" t="str">
        <f>"0,6561"</f>
        <v>0,6561</v>
      </c>
      <c r="F11" s="18" t="s">
        <v>116</v>
      </c>
      <c r="G11" s="18" t="s">
        <v>24</v>
      </c>
      <c r="H11" s="154" t="s">
        <v>384</v>
      </c>
      <c r="I11" s="154" t="s">
        <v>540</v>
      </c>
      <c r="J11" s="16" t="s">
        <v>541</v>
      </c>
      <c r="K11" s="17" t="str">
        <f>"1732,2360"</f>
        <v>1732,2360</v>
      </c>
      <c r="L11" s="18" t="s">
        <v>426</v>
      </c>
    </row>
    <row r="12" spans="1:12">
      <c r="A12" s="122" t="s">
        <v>460</v>
      </c>
      <c r="B12" s="155" t="s">
        <v>199</v>
      </c>
      <c r="C12" s="15" t="s">
        <v>200</v>
      </c>
      <c r="D12" s="15" t="s">
        <v>405</v>
      </c>
      <c r="E12" s="14" t="str">
        <f>"0,6706"</f>
        <v>0,6706</v>
      </c>
      <c r="F12" s="15" t="s">
        <v>13</v>
      </c>
      <c r="G12" s="15" t="s">
        <v>24</v>
      </c>
      <c r="H12" s="156" t="s">
        <v>25</v>
      </c>
      <c r="I12" s="156" t="s">
        <v>532</v>
      </c>
      <c r="J12" s="13" t="s">
        <v>542</v>
      </c>
      <c r="K12" s="14" t="str">
        <f>"1663,0880"</f>
        <v>1663,0880</v>
      </c>
      <c r="L12" s="15" t="s">
        <v>134</v>
      </c>
    </row>
    <row r="14" spans="1:12" ht="16">
      <c r="B14" s="195" t="s">
        <v>41</v>
      </c>
      <c r="C14" s="196"/>
      <c r="D14" s="196"/>
      <c r="E14" s="196"/>
      <c r="F14" s="196"/>
      <c r="G14" s="196"/>
      <c r="H14" s="196"/>
      <c r="I14" s="196"/>
      <c r="J14" s="195"/>
      <c r="K14" s="196"/>
    </row>
    <row r="15" spans="1:12">
      <c r="A15" s="120" t="s">
        <v>340</v>
      </c>
      <c r="B15" s="151" t="s">
        <v>543</v>
      </c>
      <c r="C15" s="12" t="s">
        <v>477</v>
      </c>
      <c r="D15" s="12" t="s">
        <v>544</v>
      </c>
      <c r="E15" s="11" t="str">
        <f>"0,6387"</f>
        <v>0,6387</v>
      </c>
      <c r="F15" s="12" t="s">
        <v>168</v>
      </c>
      <c r="G15" s="12" t="s">
        <v>24</v>
      </c>
      <c r="H15" s="152" t="s">
        <v>130</v>
      </c>
      <c r="I15" s="152" t="s">
        <v>545</v>
      </c>
      <c r="J15" s="10" t="s">
        <v>546</v>
      </c>
      <c r="K15" s="11" t="str">
        <f>"2280,1590"</f>
        <v>2280,1590</v>
      </c>
      <c r="L15" s="12" t="s">
        <v>134</v>
      </c>
    </row>
    <row r="16" spans="1:12">
      <c r="A16" s="122" t="s">
        <v>367</v>
      </c>
      <c r="B16" s="155" t="s">
        <v>210</v>
      </c>
      <c r="C16" s="15" t="s">
        <v>211</v>
      </c>
      <c r="D16" s="15" t="s">
        <v>408</v>
      </c>
      <c r="E16" s="14" t="str">
        <f>"0,6251"</f>
        <v>0,6251</v>
      </c>
      <c r="F16" s="15" t="s">
        <v>212</v>
      </c>
      <c r="G16" s="15" t="s">
        <v>24</v>
      </c>
      <c r="H16" s="156" t="s">
        <v>26</v>
      </c>
      <c r="I16" s="156" t="s">
        <v>512</v>
      </c>
      <c r="J16" s="13" t="s">
        <v>547</v>
      </c>
      <c r="K16" s="14" t="str">
        <f>"1575,2520"</f>
        <v>1575,2520</v>
      </c>
      <c r="L16" s="15" t="s">
        <v>397</v>
      </c>
    </row>
    <row r="18" spans="1:12" ht="16">
      <c r="B18" s="195" t="s">
        <v>113</v>
      </c>
      <c r="C18" s="196"/>
      <c r="D18" s="196"/>
      <c r="E18" s="196"/>
      <c r="F18" s="196"/>
      <c r="G18" s="196"/>
      <c r="H18" s="196"/>
      <c r="I18" s="196"/>
      <c r="J18" s="195"/>
      <c r="K18" s="196"/>
    </row>
    <row r="19" spans="1:12">
      <c r="A19" s="118" t="s">
        <v>340</v>
      </c>
      <c r="B19" s="140" t="s">
        <v>222</v>
      </c>
      <c r="C19" s="9" t="s">
        <v>223</v>
      </c>
      <c r="D19" s="9" t="s">
        <v>413</v>
      </c>
      <c r="E19" s="8" t="str">
        <f>"0,6071"</f>
        <v>0,6071</v>
      </c>
      <c r="F19" s="9" t="s">
        <v>90</v>
      </c>
      <c r="G19" s="9" t="s">
        <v>24</v>
      </c>
      <c r="H19" s="141" t="s">
        <v>548</v>
      </c>
      <c r="I19" s="141" t="s">
        <v>512</v>
      </c>
      <c r="J19" s="7" t="s">
        <v>549</v>
      </c>
      <c r="K19" s="8" t="str">
        <f>"1572,3890"</f>
        <v>1572,3890</v>
      </c>
      <c r="L19" s="9" t="s">
        <v>134</v>
      </c>
    </row>
    <row r="21" spans="1:12" ht="16">
      <c r="B21" s="195" t="s">
        <v>62</v>
      </c>
      <c r="C21" s="196"/>
      <c r="D21" s="196"/>
      <c r="E21" s="196"/>
      <c r="F21" s="196"/>
      <c r="G21" s="196"/>
      <c r="H21" s="196"/>
      <c r="I21" s="196"/>
      <c r="J21" s="195"/>
      <c r="K21" s="196"/>
    </row>
    <row r="22" spans="1:12">
      <c r="A22" s="118" t="s">
        <v>340</v>
      </c>
      <c r="B22" s="140" t="s">
        <v>232</v>
      </c>
      <c r="C22" s="9" t="s">
        <v>233</v>
      </c>
      <c r="D22" s="9" t="s">
        <v>418</v>
      </c>
      <c r="E22" s="8" t="str">
        <f>"0,5778"</f>
        <v>0,5778</v>
      </c>
      <c r="F22" s="9" t="s">
        <v>90</v>
      </c>
      <c r="G22" s="9" t="s">
        <v>24</v>
      </c>
      <c r="H22" s="141" t="s">
        <v>36</v>
      </c>
      <c r="I22" s="141" t="s">
        <v>540</v>
      </c>
      <c r="J22" s="7" t="s">
        <v>550</v>
      </c>
      <c r="K22" s="8" t="str">
        <f>"1895,1839"</f>
        <v>1895,1839</v>
      </c>
      <c r="L22" s="9" t="s">
        <v>134</v>
      </c>
    </row>
    <row r="25" spans="1:12" ht="18">
      <c r="B25" s="145" t="s">
        <v>68</v>
      </c>
      <c r="C25" s="145"/>
    </row>
    <row r="26" spans="1:12" ht="16">
      <c r="B26" s="146" t="s">
        <v>75</v>
      </c>
      <c r="C26" s="146"/>
    </row>
    <row r="27" spans="1:12" ht="14">
      <c r="B27" s="147"/>
      <c r="C27" s="157" t="s">
        <v>69</v>
      </c>
    </row>
    <row r="28" spans="1:12" ht="14">
      <c r="A28" s="118" t="s">
        <v>339</v>
      </c>
      <c r="B28" s="167" t="s">
        <v>70</v>
      </c>
      <c r="C28" s="158" t="s">
        <v>71</v>
      </c>
      <c r="D28" s="158" t="s">
        <v>72</v>
      </c>
      <c r="E28" s="159" t="s">
        <v>73</v>
      </c>
      <c r="F28" s="159" t="s">
        <v>551</v>
      </c>
    </row>
    <row r="29" spans="1:12">
      <c r="A29" s="118" t="s">
        <v>340</v>
      </c>
      <c r="B29" s="160" t="s">
        <v>543</v>
      </c>
      <c r="C29" s="9" t="s">
        <v>69</v>
      </c>
      <c r="D29" s="9" t="s">
        <v>76</v>
      </c>
      <c r="E29" s="8" t="s">
        <v>552</v>
      </c>
      <c r="F29" s="7" t="s">
        <v>553</v>
      </c>
    </row>
    <row r="30" spans="1:12">
      <c r="A30" s="118" t="s">
        <v>367</v>
      </c>
      <c r="B30" s="160" t="s">
        <v>232</v>
      </c>
      <c r="C30" s="9" t="s">
        <v>69</v>
      </c>
      <c r="D30" s="9" t="s">
        <v>123</v>
      </c>
      <c r="E30" s="8" t="s">
        <v>554</v>
      </c>
      <c r="F30" s="7" t="s">
        <v>555</v>
      </c>
    </row>
    <row r="31" spans="1:12">
      <c r="A31" s="118" t="s">
        <v>460</v>
      </c>
      <c r="B31" s="160" t="s">
        <v>197</v>
      </c>
      <c r="C31" s="9" t="s">
        <v>69</v>
      </c>
      <c r="D31" s="9" t="s">
        <v>173</v>
      </c>
      <c r="E31" s="8" t="s">
        <v>508</v>
      </c>
      <c r="F31" s="7" t="s">
        <v>556</v>
      </c>
    </row>
    <row r="32" spans="1:12">
      <c r="B32" s="149"/>
      <c r="F32" s="3"/>
    </row>
    <row r="33" spans="2:6">
      <c r="B33" s="149"/>
      <c r="F33" s="3"/>
    </row>
    <row r="34" spans="2:6">
      <c r="B34" s="149"/>
      <c r="F34" s="3"/>
    </row>
    <row r="35" spans="2:6">
      <c r="B35" s="149"/>
      <c r="C35" s="9"/>
      <c r="F35" s="3"/>
    </row>
    <row r="36" spans="2:6">
      <c r="B36" s="149"/>
      <c r="F36" s="3"/>
    </row>
  </sheetData>
  <mergeCells count="17">
    <mergeCell ref="B21:K21"/>
    <mergeCell ref="K3:K4"/>
    <mergeCell ref="L3:L4"/>
    <mergeCell ref="B5:K5"/>
    <mergeCell ref="B8:K8"/>
    <mergeCell ref="B14:K14"/>
    <mergeCell ref="B18:K18"/>
    <mergeCell ref="F3:F4"/>
    <mergeCell ref="G3:G4"/>
    <mergeCell ref="H3:I3"/>
    <mergeCell ref="J3:J4"/>
    <mergeCell ref="A1:L2"/>
    <mergeCell ref="A3:A4"/>
    <mergeCell ref="B3:B4"/>
    <mergeCell ref="C3:C4"/>
    <mergeCell ref="D3:D4"/>
    <mergeCell ref="E3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sqref="A1:M2"/>
    </sheetView>
  </sheetViews>
  <sheetFormatPr baseColWidth="10" defaultColWidth="8.7109375" defaultRowHeight="13" x14ac:dyDescent="0"/>
  <cols>
    <col min="2" max="2" width="26" style="22" bestFit="1" customWidth="1"/>
    <col min="3" max="3" width="22.85546875" style="22" bestFit="1" customWidth="1"/>
    <col min="4" max="4" width="13.7109375" style="22" customWidth="1"/>
    <col min="5" max="5" width="8.42578125" style="22" bestFit="1" customWidth="1"/>
    <col min="6" max="6" width="22.7109375" style="22" bestFit="1" customWidth="1"/>
    <col min="7" max="7" width="26.85546875" style="22" bestFit="1" customWidth="1"/>
    <col min="8" max="10" width="5.5703125" style="22" bestFit="1" customWidth="1"/>
    <col min="11" max="11" width="7.85546875" style="22" bestFit="1" customWidth="1"/>
    <col min="12" max="12" width="7.5703125" style="22" bestFit="1" customWidth="1"/>
    <col min="13" max="13" width="15.42578125" style="22" bestFit="1" customWidth="1"/>
  </cols>
  <sheetData>
    <row r="1" spans="1:13" s="1" customFormat="1" ht="15" customHeight="1">
      <c r="A1" s="183" t="s">
        <v>602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4"/>
    </row>
    <row r="2" spans="1:13" s="1" customFormat="1" ht="90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4"/>
    </row>
    <row r="3" spans="1:13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461</v>
      </c>
      <c r="F3" s="181" t="s">
        <v>7</v>
      </c>
      <c r="G3" s="181" t="s">
        <v>343</v>
      </c>
      <c r="H3" s="214" t="s">
        <v>3</v>
      </c>
      <c r="I3" s="215"/>
      <c r="J3" s="215"/>
      <c r="K3" s="181" t="s">
        <v>4</v>
      </c>
      <c r="L3" s="181" t="s">
        <v>6</v>
      </c>
      <c r="M3" s="193" t="s">
        <v>5</v>
      </c>
    </row>
    <row r="4" spans="1:13" s="2" customFormat="1" ht="21" customHeight="1" thickBot="1">
      <c r="A4" s="192"/>
      <c r="B4" s="189"/>
      <c r="C4" s="190"/>
      <c r="D4" s="190"/>
      <c r="E4" s="182"/>
      <c r="F4" s="182"/>
      <c r="G4" s="182"/>
      <c r="H4" s="131">
        <v>1</v>
      </c>
      <c r="I4" s="131" t="s">
        <v>367</v>
      </c>
      <c r="J4" s="131" t="s">
        <v>460</v>
      </c>
      <c r="K4" s="182"/>
      <c r="L4" s="182"/>
      <c r="M4" s="194"/>
    </row>
    <row r="5" spans="1:13" ht="16">
      <c r="B5" s="187" t="s">
        <v>62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3">
      <c r="A6" s="82">
        <v>1</v>
      </c>
      <c r="B6" s="31" t="s">
        <v>306</v>
      </c>
      <c r="C6" s="31" t="s">
        <v>307</v>
      </c>
      <c r="D6" s="31" t="s">
        <v>372</v>
      </c>
      <c r="E6" s="31" t="str">
        <f>"0,5666"</f>
        <v>0,5666</v>
      </c>
      <c r="F6" s="31" t="s">
        <v>13</v>
      </c>
      <c r="G6" s="31" t="s">
        <v>163</v>
      </c>
      <c r="H6" s="132" t="s">
        <v>48</v>
      </c>
      <c r="I6" s="133" t="s">
        <v>49</v>
      </c>
      <c r="J6" s="132" t="s">
        <v>50</v>
      </c>
      <c r="K6" s="31" t="s">
        <v>49</v>
      </c>
      <c r="L6" s="31" t="str">
        <f>"84,9975"</f>
        <v>84,9975</v>
      </c>
      <c r="M6" s="31" t="s">
        <v>134</v>
      </c>
    </row>
    <row r="8" spans="1:13" ht="16">
      <c r="B8" s="37"/>
      <c r="C8" s="37"/>
      <c r="D8" s="37"/>
      <c r="E8" s="37"/>
      <c r="F8" s="43"/>
      <c r="G8" s="37"/>
    </row>
    <row r="9" spans="1:13" ht="16">
      <c r="B9" s="37"/>
      <c r="C9" s="37"/>
      <c r="D9" s="37"/>
      <c r="E9" s="37"/>
      <c r="F9" s="43"/>
      <c r="G9" s="37"/>
    </row>
    <row r="10" spans="1:13" ht="16">
      <c r="B10" s="37"/>
      <c r="C10" s="37"/>
      <c r="D10" s="37"/>
      <c r="E10" s="37"/>
      <c r="F10" s="43"/>
      <c r="G10" s="37"/>
    </row>
    <row r="11" spans="1:13" ht="16">
      <c r="B11" s="37"/>
      <c r="C11" s="37"/>
      <c r="D11" s="37"/>
      <c r="E11" s="37"/>
      <c r="F11" s="43"/>
      <c r="G11" s="37"/>
    </row>
    <row r="12" spans="1:13" ht="16">
      <c r="B12" s="37"/>
      <c r="C12" s="37"/>
      <c r="D12" s="37"/>
      <c r="E12" s="37"/>
      <c r="F12" s="43"/>
      <c r="G12" s="37"/>
    </row>
    <row r="13" spans="1:13" ht="16">
      <c r="B13" s="37"/>
      <c r="C13" s="37"/>
      <c r="D13" s="37"/>
      <c r="E13" s="37"/>
      <c r="F13" s="43"/>
      <c r="G13" s="37"/>
    </row>
    <row r="14" spans="1:13" ht="16">
      <c r="B14" s="37"/>
      <c r="C14" s="37"/>
      <c r="D14" s="37"/>
      <c r="E14" s="37"/>
      <c r="F14" s="43"/>
      <c r="G14" s="37"/>
    </row>
    <row r="15" spans="1:13">
      <c r="B15" s="37"/>
      <c r="C15" s="37"/>
      <c r="D15" s="37"/>
      <c r="E15" s="37"/>
      <c r="F15" s="37"/>
      <c r="G15" s="37"/>
    </row>
    <row r="16" spans="1:13" ht="18">
      <c r="B16" s="44"/>
      <c r="C16" s="44"/>
      <c r="D16" s="37"/>
      <c r="E16" s="37"/>
      <c r="F16" s="37"/>
      <c r="G16" s="37"/>
    </row>
    <row r="17" spans="2:7" ht="16">
      <c r="B17" s="45"/>
      <c r="C17" s="45"/>
      <c r="D17" s="37"/>
      <c r="E17" s="37"/>
      <c r="F17" s="37"/>
      <c r="G17" s="37"/>
    </row>
    <row r="18" spans="2:7" ht="14">
      <c r="B18" s="46"/>
      <c r="C18" s="47"/>
      <c r="D18" s="37"/>
      <c r="E18" s="37"/>
      <c r="F18" s="37"/>
      <c r="G18" s="37"/>
    </row>
    <row r="19" spans="2:7" ht="14">
      <c r="B19" s="48"/>
      <c r="C19" s="48"/>
      <c r="D19" s="48"/>
      <c r="E19" s="48"/>
      <c r="F19" s="48"/>
      <c r="G19" s="37"/>
    </row>
    <row r="20" spans="2:7">
      <c r="B20" s="49"/>
      <c r="C20" s="37"/>
      <c r="D20" s="37"/>
      <c r="E20" s="37"/>
      <c r="F20" s="50"/>
      <c r="G20" s="37"/>
    </row>
    <row r="21" spans="2:7">
      <c r="B21" s="37"/>
      <c r="C21" s="37"/>
      <c r="D21" s="37"/>
      <c r="E21" s="37"/>
      <c r="F21" s="37"/>
      <c r="G21" s="37"/>
    </row>
  </sheetData>
  <mergeCells count="13">
    <mergeCell ref="A1:M2"/>
    <mergeCell ref="L3:L4"/>
    <mergeCell ref="M3:M4"/>
    <mergeCell ref="B5:L5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G19" sqref="G19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2.85546875" style="22" bestFit="1" customWidth="1"/>
    <col min="4" max="4" width="16.5703125" style="22" customWidth="1"/>
    <col min="5" max="5" width="8.42578125" style="22" bestFit="1" customWidth="1"/>
    <col min="6" max="6" width="22.7109375" style="22" bestFit="1" customWidth="1"/>
    <col min="7" max="7" width="26" style="22" bestFit="1" customWidth="1"/>
    <col min="8" max="8" width="6.5703125" customWidth="1"/>
    <col min="9" max="9" width="5.5703125" customWidth="1"/>
    <col min="10" max="10" width="5" customWidth="1"/>
    <col min="11" max="11" width="5.7109375" customWidth="1"/>
    <col min="12" max="12" width="5.5703125" style="22" bestFit="1" customWidth="1"/>
    <col min="13" max="13" width="10.28515625" style="22" customWidth="1"/>
    <col min="14" max="14" width="7.85546875" style="22" bestFit="1" customWidth="1"/>
    <col min="15" max="15" width="9.5703125" style="22" bestFit="1" customWidth="1"/>
    <col min="16" max="16" width="15.42578125" style="22" bestFit="1" customWidth="1"/>
  </cols>
  <sheetData>
    <row r="1" spans="1:16" s="1" customFormat="1" ht="30" customHeight="1">
      <c r="A1" s="183" t="s">
        <v>609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</row>
    <row r="2" spans="1:16" s="1" customFormat="1" ht="66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16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563</v>
      </c>
      <c r="I3" s="181"/>
      <c r="J3" s="181"/>
      <c r="K3" s="181"/>
      <c r="L3" s="181" t="s">
        <v>490</v>
      </c>
      <c r="M3" s="181"/>
      <c r="N3" s="181" t="s">
        <v>4</v>
      </c>
      <c r="O3" s="181" t="s">
        <v>6</v>
      </c>
      <c r="P3" s="193" t="s">
        <v>5</v>
      </c>
    </row>
    <row r="4" spans="1:16" s="2" customFormat="1" ht="21" customHeight="1" thickBot="1">
      <c r="A4" s="192"/>
      <c r="B4" s="189"/>
      <c r="C4" s="190"/>
      <c r="D4" s="190"/>
      <c r="E4" s="182"/>
      <c r="F4" s="182"/>
      <c r="G4" s="182"/>
      <c r="H4" s="131">
        <v>1</v>
      </c>
      <c r="I4" s="131">
        <v>2</v>
      </c>
      <c r="J4" s="131">
        <v>3</v>
      </c>
      <c r="K4" s="131" t="s">
        <v>8</v>
      </c>
      <c r="L4" s="131" t="s">
        <v>492</v>
      </c>
      <c r="M4" s="131" t="s">
        <v>493</v>
      </c>
      <c r="N4" s="182"/>
      <c r="O4" s="182"/>
      <c r="P4" s="194"/>
    </row>
    <row r="5" spans="1:16" ht="16">
      <c r="B5" s="187" t="s">
        <v>557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6">
      <c r="A6" s="82">
        <v>1</v>
      </c>
      <c r="B6" s="31" t="s">
        <v>272</v>
      </c>
      <c r="C6" s="31" t="s">
        <v>273</v>
      </c>
      <c r="D6" s="31" t="s">
        <v>385</v>
      </c>
      <c r="E6" s="31" t="str">
        <f>"0,6910"</f>
        <v>0,6910</v>
      </c>
      <c r="F6" s="31" t="s">
        <v>13</v>
      </c>
      <c r="G6" s="31" t="s">
        <v>24</v>
      </c>
      <c r="H6" s="161">
        <v>150</v>
      </c>
      <c r="I6" s="162"/>
      <c r="J6" s="162"/>
      <c r="K6" s="162"/>
      <c r="L6" s="133" t="s">
        <v>25</v>
      </c>
      <c r="M6" s="133" t="s">
        <v>500</v>
      </c>
      <c r="N6" s="31" t="s">
        <v>564</v>
      </c>
      <c r="O6" s="31" t="str">
        <f>"2067,4720"</f>
        <v>2067,4720</v>
      </c>
      <c r="P6" s="31" t="s">
        <v>565</v>
      </c>
    </row>
    <row r="8" spans="1:16" ht="16">
      <c r="B8" s="178" t="s">
        <v>113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6">
      <c r="A9" s="82">
        <v>1</v>
      </c>
      <c r="B9" s="31" t="s">
        <v>285</v>
      </c>
      <c r="C9" s="31" t="s">
        <v>286</v>
      </c>
      <c r="D9" s="31" t="s">
        <v>391</v>
      </c>
      <c r="E9" s="31" t="str">
        <f>"0,6226"</f>
        <v>0,6226</v>
      </c>
      <c r="F9" s="31" t="s">
        <v>13</v>
      </c>
      <c r="G9" s="31" t="s">
        <v>24</v>
      </c>
      <c r="H9" s="161">
        <v>130</v>
      </c>
      <c r="I9" s="162"/>
      <c r="J9" s="162"/>
      <c r="K9" s="162"/>
      <c r="L9" s="133" t="s">
        <v>133</v>
      </c>
      <c r="M9" s="133" t="s">
        <v>566</v>
      </c>
      <c r="N9" s="31" t="s">
        <v>567</v>
      </c>
      <c r="O9" s="31" t="str">
        <f>"896,5440"</f>
        <v>896,5440</v>
      </c>
      <c r="P9" s="31" t="s">
        <v>134</v>
      </c>
    </row>
    <row r="11" spans="1:16" ht="16">
      <c r="B11" s="37"/>
      <c r="C11" s="37"/>
      <c r="D11" s="37"/>
      <c r="E11" s="37"/>
      <c r="F11" s="43"/>
    </row>
    <row r="12" spans="1:16" ht="16">
      <c r="B12" s="37"/>
      <c r="C12" s="37"/>
      <c r="D12" s="37"/>
      <c r="E12" s="37"/>
      <c r="F12" s="43"/>
    </row>
    <row r="13" spans="1:16" ht="16">
      <c r="B13" s="37"/>
      <c r="C13" s="37"/>
      <c r="D13" s="37"/>
      <c r="E13" s="37"/>
      <c r="F13" s="43"/>
    </row>
    <row r="14" spans="1:16" ht="16">
      <c r="B14" s="37"/>
      <c r="C14" s="37"/>
      <c r="D14" s="37"/>
      <c r="E14" s="37"/>
      <c r="F14" s="43"/>
    </row>
    <row r="15" spans="1:16" ht="16">
      <c r="B15" s="37"/>
      <c r="C15" s="37"/>
      <c r="D15" s="37"/>
      <c r="E15" s="37"/>
      <c r="F15" s="43"/>
    </row>
    <row r="16" spans="1:16" ht="16">
      <c r="B16" s="37"/>
      <c r="C16" s="37"/>
      <c r="D16" s="37"/>
      <c r="E16" s="37"/>
      <c r="F16" s="43"/>
    </row>
    <row r="17" spans="2:6" ht="16">
      <c r="B17" s="37"/>
      <c r="C17" s="37"/>
      <c r="D17" s="37"/>
      <c r="E17" s="37"/>
      <c r="F17" s="43"/>
    </row>
    <row r="18" spans="2:6">
      <c r="B18" s="37"/>
      <c r="C18" s="37"/>
      <c r="D18" s="37"/>
      <c r="E18" s="37"/>
      <c r="F18" s="37"/>
    </row>
    <row r="19" spans="2:6" ht="18">
      <c r="B19" s="44"/>
      <c r="C19" s="44"/>
      <c r="D19" s="37"/>
      <c r="E19" s="37"/>
      <c r="F19" s="37"/>
    </row>
    <row r="20" spans="2:6" ht="16">
      <c r="B20" s="45"/>
      <c r="C20" s="45"/>
      <c r="D20" s="37"/>
      <c r="E20" s="37"/>
      <c r="F20" s="37"/>
    </row>
    <row r="21" spans="2:6" ht="14">
      <c r="B21" s="46"/>
      <c r="C21" s="47"/>
      <c r="D21" s="37"/>
      <c r="E21" s="37"/>
      <c r="F21" s="37"/>
    </row>
    <row r="22" spans="2:6" ht="14">
      <c r="B22" s="48"/>
      <c r="C22" s="48"/>
      <c r="D22" s="48"/>
      <c r="E22" s="48"/>
      <c r="F22" s="48"/>
    </row>
    <row r="23" spans="2:6">
      <c r="B23" s="49"/>
      <c r="C23" s="37"/>
      <c r="D23" s="37"/>
      <c r="E23" s="37"/>
      <c r="F23" s="50"/>
    </row>
    <row r="24" spans="2:6">
      <c r="B24" s="49"/>
      <c r="C24" s="37"/>
      <c r="D24" s="37"/>
      <c r="E24" s="37"/>
      <c r="F24" s="50"/>
    </row>
    <row r="25" spans="2:6">
      <c r="B25" s="37"/>
      <c r="C25" s="37"/>
      <c r="D25" s="37"/>
      <c r="E25" s="37"/>
      <c r="F25" s="37"/>
    </row>
    <row r="26" spans="2:6">
      <c r="B26" s="37"/>
      <c r="C26" s="37"/>
      <c r="D26" s="37"/>
      <c r="E26" s="37"/>
      <c r="F26" s="37"/>
    </row>
    <row r="27" spans="2:6">
      <c r="B27" s="37"/>
      <c r="C27" s="37"/>
      <c r="D27" s="37"/>
      <c r="E27" s="37"/>
      <c r="F27" s="37"/>
    </row>
    <row r="28" spans="2:6">
      <c r="B28" s="37"/>
      <c r="C28" s="37"/>
      <c r="D28" s="37"/>
      <c r="E28" s="37"/>
      <c r="F28" s="37"/>
    </row>
  </sheetData>
  <mergeCells count="15">
    <mergeCell ref="B5:O5"/>
    <mergeCell ref="B8:O8"/>
    <mergeCell ref="A1:P2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  <mergeCell ref="O3:O4"/>
    <mergeCell ref="P3:P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F19" sqref="F19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2.85546875" style="22" bestFit="1" customWidth="1"/>
    <col min="4" max="4" width="16" style="22" customWidth="1"/>
    <col min="5" max="5" width="8.42578125" style="22" bestFit="1" customWidth="1"/>
    <col min="6" max="6" width="22.7109375" style="22" bestFit="1" customWidth="1"/>
    <col min="7" max="7" width="31.140625" style="22" bestFit="1" customWidth="1"/>
    <col min="8" max="8" width="6.5703125" customWidth="1"/>
    <col min="9" max="9" width="5.5703125" customWidth="1"/>
    <col min="10" max="10" width="5" customWidth="1"/>
    <col min="12" max="12" width="8.28515625" style="22" customWidth="1"/>
    <col min="13" max="13" width="7.7109375" style="22" customWidth="1"/>
    <col min="14" max="14" width="7.85546875" style="22" bestFit="1" customWidth="1"/>
    <col min="15" max="15" width="9.5703125" style="22" bestFit="1" customWidth="1"/>
    <col min="16" max="16" width="15.42578125" style="22" bestFit="1" customWidth="1"/>
  </cols>
  <sheetData>
    <row r="1" spans="1:16" s="1" customFormat="1" ht="15" customHeight="1">
      <c r="A1" s="183" t="s">
        <v>610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</row>
    <row r="2" spans="1:16" s="1" customFormat="1" ht="84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16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563</v>
      </c>
      <c r="I3" s="181"/>
      <c r="J3" s="181"/>
      <c r="K3" s="181"/>
      <c r="L3" s="181" t="s">
        <v>490</v>
      </c>
      <c r="M3" s="181"/>
      <c r="N3" s="181" t="s">
        <v>4</v>
      </c>
      <c r="O3" s="181" t="s">
        <v>6</v>
      </c>
      <c r="P3" s="193" t="s">
        <v>5</v>
      </c>
    </row>
    <row r="4" spans="1:16" s="2" customFormat="1" ht="21" customHeight="1" thickBot="1">
      <c r="A4" s="192"/>
      <c r="B4" s="189"/>
      <c r="C4" s="190"/>
      <c r="D4" s="190"/>
      <c r="E4" s="182"/>
      <c r="F4" s="182"/>
      <c r="G4" s="182"/>
      <c r="H4" s="131">
        <v>1</v>
      </c>
      <c r="I4" s="131">
        <v>2</v>
      </c>
      <c r="J4" s="131">
        <v>3</v>
      </c>
      <c r="K4" s="131" t="s">
        <v>8</v>
      </c>
      <c r="L4" s="131" t="s">
        <v>492</v>
      </c>
      <c r="M4" s="131" t="s">
        <v>493</v>
      </c>
      <c r="N4" s="182"/>
      <c r="O4" s="182"/>
      <c r="P4" s="194"/>
    </row>
    <row r="5" spans="1:16" ht="16">
      <c r="B5" s="187" t="s">
        <v>41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</row>
    <row r="6" spans="1:16">
      <c r="A6" s="82">
        <v>1</v>
      </c>
      <c r="B6" s="31" t="s">
        <v>210</v>
      </c>
      <c r="C6" s="31" t="s">
        <v>211</v>
      </c>
      <c r="D6" s="31" t="s">
        <v>408</v>
      </c>
      <c r="E6" s="31" t="str">
        <f>"0,6511"</f>
        <v>0,6511</v>
      </c>
      <c r="F6" s="31" t="s">
        <v>212</v>
      </c>
      <c r="G6" s="31" t="s">
        <v>24</v>
      </c>
      <c r="H6" s="161">
        <v>165</v>
      </c>
      <c r="I6" s="162"/>
      <c r="J6" s="162"/>
      <c r="K6" s="162"/>
      <c r="L6" s="133" t="s">
        <v>26</v>
      </c>
      <c r="M6" s="133" t="s">
        <v>512</v>
      </c>
      <c r="N6" s="31" t="s">
        <v>568</v>
      </c>
      <c r="O6" s="31" t="str">
        <f>"1886,8877"</f>
        <v>1886,8877</v>
      </c>
      <c r="P6" s="31" t="s">
        <v>397</v>
      </c>
    </row>
    <row r="8" spans="1:16" ht="16">
      <c r="B8" s="178" t="s">
        <v>113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</row>
    <row r="9" spans="1:16">
      <c r="A9" s="82">
        <v>1</v>
      </c>
      <c r="B9" s="31" t="s">
        <v>569</v>
      </c>
      <c r="C9" s="31" t="s">
        <v>570</v>
      </c>
      <c r="D9" s="31" t="s">
        <v>571</v>
      </c>
      <c r="E9" s="31" t="str">
        <f>"0,6305"</f>
        <v>0,6305</v>
      </c>
      <c r="F9" s="31" t="s">
        <v>13</v>
      </c>
      <c r="G9" s="31" t="s">
        <v>612</v>
      </c>
      <c r="H9" s="161">
        <v>160</v>
      </c>
      <c r="I9" s="162"/>
      <c r="J9" s="162"/>
      <c r="K9" s="162"/>
      <c r="L9" s="133" t="s">
        <v>133</v>
      </c>
      <c r="M9" s="133" t="s">
        <v>514</v>
      </c>
      <c r="N9" s="31" t="s">
        <v>572</v>
      </c>
      <c r="O9" s="31" t="str">
        <f>"1967,1601"</f>
        <v>1967,1601</v>
      </c>
      <c r="P9" s="31" t="s">
        <v>134</v>
      </c>
    </row>
    <row r="11" spans="1:16" ht="16">
      <c r="B11" s="178" t="s">
        <v>573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6">
      <c r="A12" s="82">
        <v>1</v>
      </c>
      <c r="B12" s="31" t="s">
        <v>574</v>
      </c>
      <c r="C12" s="31" t="s">
        <v>141</v>
      </c>
      <c r="D12" s="31" t="s">
        <v>575</v>
      </c>
      <c r="E12" s="31" t="str">
        <f>"0,5856"</f>
        <v>0,5856</v>
      </c>
      <c r="F12" s="31" t="s">
        <v>576</v>
      </c>
      <c r="G12" s="31" t="s">
        <v>611</v>
      </c>
      <c r="H12" s="161">
        <v>160</v>
      </c>
      <c r="I12" s="162"/>
      <c r="J12" s="162"/>
      <c r="K12" s="162"/>
      <c r="L12" s="133" t="s">
        <v>20</v>
      </c>
      <c r="M12" s="133" t="s">
        <v>577</v>
      </c>
      <c r="N12" s="31" t="s">
        <v>578</v>
      </c>
      <c r="O12" s="31" t="str">
        <f>"1461,6576"</f>
        <v>1461,6576</v>
      </c>
      <c r="P12" s="31" t="s">
        <v>134</v>
      </c>
    </row>
    <row r="14" spans="1:16" ht="16">
      <c r="B14" s="37"/>
      <c r="C14" s="37"/>
      <c r="D14" s="37"/>
      <c r="E14" s="37"/>
      <c r="F14" s="43"/>
    </row>
    <row r="15" spans="1:16" ht="16">
      <c r="B15" s="37"/>
      <c r="C15" s="37"/>
      <c r="D15" s="37"/>
      <c r="E15" s="37"/>
      <c r="F15" s="43"/>
    </row>
    <row r="16" spans="1:16" ht="16">
      <c r="B16" s="37"/>
      <c r="C16" s="37"/>
      <c r="D16" s="37"/>
      <c r="E16" s="37"/>
      <c r="F16" s="43"/>
    </row>
    <row r="17" spans="2:6" ht="16">
      <c r="B17" s="37"/>
      <c r="C17" s="37"/>
      <c r="D17" s="37"/>
      <c r="E17" s="37"/>
      <c r="F17" s="43"/>
    </row>
    <row r="18" spans="2:6" ht="16">
      <c r="B18" s="37"/>
      <c r="C18" s="37"/>
      <c r="D18" s="37"/>
      <c r="E18" s="37"/>
      <c r="F18" s="43"/>
    </row>
    <row r="19" spans="2:6" ht="16">
      <c r="B19" s="37"/>
      <c r="C19" s="37"/>
      <c r="D19" s="37"/>
      <c r="E19" s="37"/>
      <c r="F19" s="43"/>
    </row>
    <row r="20" spans="2:6" ht="16">
      <c r="B20" s="37"/>
      <c r="C20" s="37"/>
      <c r="D20" s="37"/>
      <c r="E20" s="37"/>
      <c r="F20" s="43"/>
    </row>
    <row r="21" spans="2:6">
      <c r="B21" s="37"/>
      <c r="C21" s="37"/>
      <c r="D21" s="37"/>
      <c r="E21" s="37"/>
      <c r="F21" s="37"/>
    </row>
    <row r="22" spans="2:6" ht="18">
      <c r="B22" s="44"/>
      <c r="C22" s="44"/>
      <c r="D22" s="37"/>
      <c r="E22" s="37"/>
      <c r="F22" s="37"/>
    </row>
    <row r="23" spans="2:6" ht="16">
      <c r="B23" s="45"/>
      <c r="C23" s="45"/>
      <c r="D23" s="37"/>
      <c r="E23" s="37"/>
      <c r="F23" s="37"/>
    </row>
    <row r="24" spans="2:6" ht="14">
      <c r="B24" s="46"/>
      <c r="C24" s="47"/>
      <c r="D24" s="37"/>
      <c r="E24" s="37"/>
      <c r="F24" s="37"/>
    </row>
    <row r="25" spans="2:6" ht="14">
      <c r="B25" s="48"/>
      <c r="C25" s="48"/>
      <c r="D25" s="48"/>
      <c r="E25" s="48"/>
      <c r="F25" s="48"/>
    </row>
    <row r="26" spans="2:6">
      <c r="B26" s="49"/>
      <c r="C26" s="37"/>
      <c r="D26" s="37"/>
      <c r="E26" s="37"/>
      <c r="F26" s="50"/>
    </row>
    <row r="27" spans="2:6">
      <c r="B27" s="49"/>
      <c r="C27" s="37"/>
      <c r="D27" s="37"/>
      <c r="E27" s="37"/>
      <c r="F27" s="50"/>
    </row>
    <row r="28" spans="2:6">
      <c r="B28" s="49"/>
      <c r="C28" s="37"/>
      <c r="D28" s="37"/>
      <c r="E28" s="37"/>
      <c r="F28" s="50"/>
    </row>
  </sheetData>
  <mergeCells count="16">
    <mergeCell ref="A1:P2"/>
    <mergeCell ref="B11:O11"/>
    <mergeCell ref="A3:A4"/>
    <mergeCell ref="B3:B4"/>
    <mergeCell ref="C3:C4"/>
    <mergeCell ref="D3:D4"/>
    <mergeCell ref="E3:E4"/>
    <mergeCell ref="F3:F4"/>
    <mergeCell ref="G3:G4"/>
    <mergeCell ref="H3:K3"/>
    <mergeCell ref="L3:M3"/>
    <mergeCell ref="N3:N4"/>
    <mergeCell ref="O3:O4"/>
    <mergeCell ref="P3:P4"/>
    <mergeCell ref="B5:O5"/>
    <mergeCell ref="B8:O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"/>
  <sheetViews>
    <sheetView workbookViewId="0">
      <selection activeCell="G25" sqref="G25"/>
    </sheetView>
  </sheetViews>
  <sheetFormatPr baseColWidth="10" defaultColWidth="8.7109375" defaultRowHeight="13" x14ac:dyDescent="0"/>
  <cols>
    <col min="2" max="2" width="18.140625" customWidth="1"/>
    <col min="3" max="3" width="22" customWidth="1"/>
    <col min="4" max="4" width="12.28515625" customWidth="1"/>
    <col min="7" max="7" width="24.5703125" customWidth="1"/>
    <col min="8" max="8" width="6.5703125" customWidth="1"/>
    <col min="9" max="9" width="5.5703125" customWidth="1"/>
    <col min="10" max="10" width="5" customWidth="1"/>
    <col min="12" max="12" width="8.140625" customWidth="1"/>
    <col min="16" max="16" width="15.42578125" customWidth="1"/>
  </cols>
  <sheetData>
    <row r="1" spans="1:21" ht="13" customHeight="1">
      <c r="A1" s="183" t="s">
        <v>613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4"/>
    </row>
    <row r="2" spans="1:21" ht="108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4"/>
    </row>
    <row r="3" spans="1:21" s="171" customFormat="1" ht="15" customHeight="1">
      <c r="A3" s="222" t="s">
        <v>339</v>
      </c>
      <c r="B3" s="224" t="s">
        <v>0</v>
      </c>
      <c r="C3" s="226" t="s">
        <v>341</v>
      </c>
      <c r="D3" s="226" t="s">
        <v>342</v>
      </c>
      <c r="E3" s="202" t="s">
        <v>9</v>
      </c>
      <c r="F3" s="202" t="s">
        <v>7</v>
      </c>
      <c r="G3" s="202" t="s">
        <v>343</v>
      </c>
      <c r="H3" s="202" t="s">
        <v>563</v>
      </c>
      <c r="I3" s="202"/>
      <c r="J3" s="202"/>
      <c r="K3" s="202"/>
      <c r="L3" s="202" t="s">
        <v>490</v>
      </c>
      <c r="M3" s="202"/>
      <c r="N3" s="202" t="s">
        <v>4</v>
      </c>
      <c r="O3" s="202" t="s">
        <v>6</v>
      </c>
      <c r="P3" s="216" t="s">
        <v>5</v>
      </c>
    </row>
    <row r="4" spans="1:21" s="171" customFormat="1" ht="15" customHeight="1" thickBot="1">
      <c r="A4" s="223"/>
      <c r="B4" s="225"/>
      <c r="C4" s="227"/>
      <c r="D4" s="227"/>
      <c r="E4" s="220"/>
      <c r="F4" s="220"/>
      <c r="G4" s="220"/>
      <c r="H4" s="172">
        <v>1</v>
      </c>
      <c r="I4" s="172">
        <v>2</v>
      </c>
      <c r="J4" s="172">
        <v>3</v>
      </c>
      <c r="K4" s="172" t="s">
        <v>8</v>
      </c>
      <c r="L4" s="172" t="s">
        <v>492</v>
      </c>
      <c r="M4" s="172" t="s">
        <v>493</v>
      </c>
      <c r="N4" s="220"/>
      <c r="O4" s="220"/>
      <c r="P4" s="217"/>
    </row>
    <row r="5" spans="1:21" ht="16">
      <c r="B5" s="221" t="s">
        <v>579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170"/>
      <c r="R5" s="170"/>
      <c r="S5" s="170"/>
      <c r="T5" s="170"/>
      <c r="U5" s="170"/>
    </row>
    <row r="6" spans="1:21">
      <c r="A6" s="82">
        <v>1</v>
      </c>
      <c r="B6" s="31" t="s">
        <v>580</v>
      </c>
      <c r="C6" s="31" t="s">
        <v>581</v>
      </c>
      <c r="D6" s="31" t="s">
        <v>133</v>
      </c>
      <c r="E6" s="31" t="str">
        <f>"0,6086"</f>
        <v>0,6086</v>
      </c>
      <c r="F6" s="31" t="s">
        <v>44</v>
      </c>
      <c r="G6" s="31" t="s">
        <v>24</v>
      </c>
      <c r="H6" s="161">
        <v>200</v>
      </c>
      <c r="I6" s="162"/>
      <c r="J6" s="162"/>
      <c r="K6" s="162"/>
      <c r="L6" s="133" t="s">
        <v>133</v>
      </c>
      <c r="M6" s="133" t="s">
        <v>545</v>
      </c>
      <c r="N6" s="31" t="s">
        <v>582</v>
      </c>
      <c r="O6" s="31" t="str">
        <f>"3067,3441"</f>
        <v>3067,3441</v>
      </c>
      <c r="P6" s="31" t="s">
        <v>134</v>
      </c>
    </row>
  </sheetData>
  <mergeCells count="14">
    <mergeCell ref="A1:P2"/>
    <mergeCell ref="N3:N4"/>
    <mergeCell ref="O3:O4"/>
    <mergeCell ref="P3:P4"/>
    <mergeCell ref="B5:P5"/>
    <mergeCell ref="F3:F4"/>
    <mergeCell ref="G3:G4"/>
    <mergeCell ref="H3:K3"/>
    <mergeCell ref="L3:M3"/>
    <mergeCell ref="A3:A4"/>
    <mergeCell ref="B3:B4"/>
    <mergeCell ref="C3:C4"/>
    <mergeCell ref="D3:D4"/>
    <mergeCell ref="E3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D17" sqref="D17"/>
    </sheetView>
  </sheetViews>
  <sheetFormatPr baseColWidth="10" defaultColWidth="8.7109375" defaultRowHeight="13" x14ac:dyDescent="0"/>
  <cols>
    <col min="2" max="3" width="26" style="22" bestFit="1" customWidth="1"/>
    <col min="4" max="4" width="16.28515625" style="22" customWidth="1"/>
    <col min="5" max="5" width="8.42578125" style="22" bestFit="1" customWidth="1"/>
    <col min="6" max="6" width="22.7109375" style="22" bestFit="1" customWidth="1"/>
    <col min="7" max="7" width="26" style="22" bestFit="1" customWidth="1"/>
    <col min="8" max="11" width="4.5703125" style="22" bestFit="1" customWidth="1"/>
    <col min="12" max="12" width="11" style="22" customWidth="1"/>
    <col min="13" max="13" width="7.5703125" style="22" bestFit="1" customWidth="1"/>
    <col min="14" max="14" width="15.42578125" style="22" customWidth="1"/>
  </cols>
  <sheetData>
    <row r="1" spans="1:14" s="1" customFormat="1" ht="15" customHeight="1">
      <c r="A1" s="183" t="s">
        <v>608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90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2</v>
      </c>
      <c r="I3" s="181"/>
      <c r="J3" s="181"/>
      <c r="K3" s="181"/>
      <c r="L3" s="181" t="s">
        <v>344</v>
      </c>
      <c r="M3" s="181" t="s">
        <v>6</v>
      </c>
      <c r="N3" s="185" t="s">
        <v>5</v>
      </c>
    </row>
    <row r="4" spans="1:14" s="2" customFormat="1" ht="21" customHeight="1" thickBot="1">
      <c r="A4" s="192"/>
      <c r="B4" s="189"/>
      <c r="C4" s="190"/>
      <c r="D4" s="190"/>
      <c r="E4" s="182"/>
      <c r="F4" s="182"/>
      <c r="G4" s="182"/>
      <c r="H4" s="115">
        <v>1</v>
      </c>
      <c r="I4" s="115">
        <v>2</v>
      </c>
      <c r="J4" s="115">
        <v>3</v>
      </c>
      <c r="K4" s="115" t="s">
        <v>8</v>
      </c>
      <c r="L4" s="182"/>
      <c r="M4" s="182"/>
      <c r="N4" s="186"/>
    </row>
    <row r="5" spans="1:14" ht="16">
      <c r="B5" s="187" t="s">
        <v>557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82">
        <v>1</v>
      </c>
      <c r="B6" s="31" t="s">
        <v>558</v>
      </c>
      <c r="C6" s="31" t="s">
        <v>559</v>
      </c>
      <c r="D6" s="31" t="s">
        <v>560</v>
      </c>
      <c r="E6" s="31" t="str">
        <f>"0,6939"</f>
        <v>0,6939</v>
      </c>
      <c r="F6" s="31" t="s">
        <v>13</v>
      </c>
      <c r="G6" s="31" t="s">
        <v>24</v>
      </c>
      <c r="H6" s="133" t="s">
        <v>97</v>
      </c>
      <c r="I6" s="133" t="s">
        <v>98</v>
      </c>
      <c r="J6" s="133" t="s">
        <v>25</v>
      </c>
      <c r="K6" s="168" t="s">
        <v>384</v>
      </c>
      <c r="L6" s="168" t="s">
        <v>25</v>
      </c>
      <c r="M6" s="31" t="str">
        <f>"55,5120"</f>
        <v>55,5120</v>
      </c>
      <c r="N6" s="31" t="s">
        <v>351</v>
      </c>
    </row>
    <row r="8" spans="1:14" ht="16">
      <c r="B8" s="37"/>
      <c r="C8" s="37"/>
      <c r="D8" s="37"/>
      <c r="E8" s="37"/>
      <c r="F8" s="43"/>
    </row>
    <row r="9" spans="1:14" ht="16">
      <c r="B9" s="37"/>
      <c r="C9" s="37"/>
      <c r="D9" s="37"/>
      <c r="E9" s="37"/>
      <c r="F9" s="43"/>
    </row>
    <row r="10" spans="1:14" ht="16">
      <c r="B10" s="37"/>
      <c r="C10" s="37"/>
      <c r="D10" s="37"/>
      <c r="E10" s="37"/>
      <c r="F10" s="43"/>
    </row>
    <row r="11" spans="1:14" ht="16">
      <c r="B11" s="37"/>
      <c r="C11" s="37"/>
      <c r="D11" s="37"/>
      <c r="E11" s="37"/>
      <c r="F11" s="43"/>
    </row>
    <row r="12" spans="1:14" ht="16">
      <c r="B12" s="37"/>
      <c r="C12" s="37"/>
      <c r="D12" s="37"/>
      <c r="E12" s="37"/>
      <c r="F12" s="43"/>
    </row>
    <row r="13" spans="1:14" ht="16">
      <c r="B13" s="37"/>
      <c r="C13" s="37"/>
      <c r="D13" s="37"/>
      <c r="E13" s="37"/>
      <c r="F13" s="43"/>
    </row>
    <row r="14" spans="1:14" ht="16">
      <c r="B14" s="37"/>
      <c r="C14" s="37"/>
      <c r="D14" s="37"/>
      <c r="E14" s="37"/>
      <c r="F14" s="43"/>
    </row>
    <row r="15" spans="1:14">
      <c r="B15" s="37"/>
      <c r="C15" s="37"/>
      <c r="D15" s="37"/>
      <c r="E15" s="37"/>
      <c r="F15" s="37"/>
    </row>
    <row r="16" spans="1:14" ht="18">
      <c r="B16" s="44"/>
      <c r="C16" s="44"/>
      <c r="D16" s="37"/>
      <c r="E16" s="37"/>
      <c r="F16" s="37"/>
    </row>
    <row r="17" spans="2:6" ht="16">
      <c r="B17" s="45"/>
      <c r="C17" s="45"/>
      <c r="D17" s="37"/>
      <c r="E17" s="37"/>
      <c r="F17" s="37"/>
    </row>
    <row r="18" spans="2:6" ht="14">
      <c r="B18" s="46"/>
      <c r="C18" s="47"/>
      <c r="D18" s="37"/>
      <c r="E18" s="37"/>
      <c r="F18" s="37"/>
    </row>
    <row r="19" spans="2:6" ht="14">
      <c r="B19" s="48"/>
      <c r="C19" s="48"/>
      <c r="D19" s="48"/>
      <c r="E19" s="48"/>
      <c r="F19" s="48"/>
    </row>
    <row r="20" spans="2:6">
      <c r="B20" s="49"/>
      <c r="C20" s="37"/>
      <c r="D20" s="37"/>
      <c r="E20" s="37"/>
      <c r="F20" s="50"/>
    </row>
    <row r="21" spans="2:6">
      <c r="B21" s="37"/>
      <c r="C21" s="37"/>
      <c r="D21" s="37"/>
      <c r="E21" s="37"/>
      <c r="F21" s="37"/>
    </row>
    <row r="22" spans="2:6">
      <c r="B22" s="37"/>
      <c r="C22" s="37"/>
      <c r="D22" s="37"/>
      <c r="E22" s="37"/>
      <c r="F22" s="37"/>
    </row>
    <row r="23" spans="2:6">
      <c r="B23" s="37"/>
      <c r="C23" s="37"/>
      <c r="D23" s="37"/>
      <c r="E23" s="37"/>
      <c r="F23" s="37"/>
    </row>
  </sheetData>
  <mergeCells count="13">
    <mergeCell ref="A1:N2"/>
    <mergeCell ref="M3:M4"/>
    <mergeCell ref="N3:N4"/>
    <mergeCell ref="B5:M5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sqref="A1:L2"/>
    </sheetView>
  </sheetViews>
  <sheetFormatPr baseColWidth="10" defaultColWidth="8.7109375" defaultRowHeight="13" x14ac:dyDescent="0"/>
  <cols>
    <col min="2" max="3" width="26" style="22" bestFit="1" customWidth="1"/>
    <col min="4" max="4" width="14.140625" style="22" customWidth="1"/>
    <col min="5" max="5" width="8.42578125" style="22" bestFit="1" customWidth="1"/>
    <col min="6" max="6" width="22.7109375" style="22" bestFit="1" customWidth="1"/>
    <col min="7" max="7" width="26" style="22" bestFit="1" customWidth="1"/>
    <col min="8" max="8" width="7.42578125" style="22" customWidth="1"/>
    <col min="9" max="9" width="12" style="22" customWidth="1"/>
    <col min="10" max="10" width="7.85546875" style="22" bestFit="1" customWidth="1"/>
    <col min="11" max="11" width="9.5703125" style="22" bestFit="1" customWidth="1"/>
    <col min="12" max="12" width="15.42578125" style="22" bestFit="1" customWidth="1"/>
  </cols>
  <sheetData>
    <row r="1" spans="1:12" s="1" customFormat="1" ht="15" customHeight="1">
      <c r="A1" s="183" t="s">
        <v>607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/>
    </row>
    <row r="2" spans="1:12" s="1" customFormat="1" ht="84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1:12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490</v>
      </c>
      <c r="I3" s="181"/>
      <c r="J3" s="181" t="s">
        <v>491</v>
      </c>
      <c r="K3" s="181" t="s">
        <v>6</v>
      </c>
      <c r="L3" s="216" t="s">
        <v>5</v>
      </c>
    </row>
    <row r="4" spans="1:12" s="2" customFormat="1" ht="21" customHeight="1" thickBot="1">
      <c r="A4" s="192"/>
      <c r="B4" s="189"/>
      <c r="C4" s="190"/>
      <c r="D4" s="190"/>
      <c r="E4" s="182"/>
      <c r="F4" s="182"/>
      <c r="G4" s="182"/>
      <c r="H4" s="115" t="s">
        <v>492</v>
      </c>
      <c r="I4" s="150" t="s">
        <v>493</v>
      </c>
      <c r="J4" s="182"/>
      <c r="K4" s="182"/>
      <c r="L4" s="217"/>
    </row>
    <row r="5" spans="1:12" ht="16">
      <c r="B5" s="187" t="s">
        <v>557</v>
      </c>
      <c r="C5" s="187"/>
      <c r="D5" s="187"/>
      <c r="E5" s="187"/>
      <c r="F5" s="187"/>
      <c r="G5" s="187"/>
      <c r="H5" s="187"/>
      <c r="I5" s="187"/>
      <c r="J5" s="187"/>
      <c r="K5" s="187"/>
    </row>
    <row r="6" spans="1:12">
      <c r="A6" s="82">
        <v>1</v>
      </c>
      <c r="B6" s="31" t="s">
        <v>558</v>
      </c>
      <c r="C6" s="31" t="s">
        <v>559</v>
      </c>
      <c r="D6" s="31" t="s">
        <v>560</v>
      </c>
      <c r="E6" s="31" t="str">
        <f>"0,6939"</f>
        <v>0,6939</v>
      </c>
      <c r="F6" s="31" t="s">
        <v>13</v>
      </c>
      <c r="G6" s="31" t="s">
        <v>24</v>
      </c>
      <c r="H6" s="133" t="s">
        <v>131</v>
      </c>
      <c r="I6" s="133" t="s">
        <v>561</v>
      </c>
      <c r="J6" s="31" t="s">
        <v>562</v>
      </c>
      <c r="K6" s="31" t="str">
        <f>"1693,1160"</f>
        <v>1693,1160</v>
      </c>
      <c r="L6" s="31" t="s">
        <v>134</v>
      </c>
    </row>
    <row r="8" spans="1:12" ht="16">
      <c r="B8" s="37"/>
      <c r="C8" s="37"/>
      <c r="D8" s="37"/>
      <c r="E8" s="37"/>
      <c r="F8" s="43"/>
    </row>
    <row r="9" spans="1:12" ht="16">
      <c r="B9" s="37"/>
      <c r="C9" s="37"/>
      <c r="D9" s="37"/>
      <c r="E9" s="37"/>
      <c r="F9" s="43"/>
    </row>
    <row r="10" spans="1:12" ht="16">
      <c r="B10" s="37"/>
      <c r="C10" s="37"/>
      <c r="D10" s="37"/>
      <c r="E10" s="37"/>
      <c r="F10" s="43"/>
    </row>
    <row r="11" spans="1:12" ht="16">
      <c r="B11" s="37"/>
      <c r="C11" s="37"/>
      <c r="D11" s="37"/>
      <c r="E11" s="37"/>
      <c r="F11" s="43"/>
    </row>
    <row r="12" spans="1:12" ht="16">
      <c r="B12" s="37"/>
      <c r="C12" s="37"/>
      <c r="D12" s="37"/>
      <c r="E12" s="37"/>
      <c r="F12" s="43"/>
    </row>
    <row r="13" spans="1:12" ht="16">
      <c r="B13" s="37"/>
      <c r="C13" s="37"/>
      <c r="D13" s="37"/>
      <c r="E13" s="37"/>
      <c r="F13" s="43"/>
    </row>
    <row r="14" spans="1:12" ht="16">
      <c r="B14" s="37"/>
      <c r="C14" s="37"/>
      <c r="D14" s="37"/>
      <c r="E14" s="37"/>
      <c r="F14" s="43"/>
    </row>
    <row r="15" spans="1:12">
      <c r="B15" s="37"/>
      <c r="C15" s="37"/>
      <c r="D15" s="37"/>
      <c r="E15" s="37"/>
      <c r="F15" s="37"/>
    </row>
    <row r="16" spans="1:12" ht="18">
      <c r="B16" s="44"/>
      <c r="C16" s="44"/>
      <c r="D16" s="37"/>
      <c r="E16" s="37"/>
      <c r="F16" s="37"/>
    </row>
    <row r="17" spans="2:6" ht="16">
      <c r="B17" s="45"/>
      <c r="C17" s="45"/>
      <c r="D17" s="37"/>
      <c r="E17" s="37"/>
      <c r="F17" s="37"/>
    </row>
    <row r="18" spans="2:6" ht="14">
      <c r="B18" s="46"/>
      <c r="C18" s="47"/>
      <c r="D18" s="37"/>
      <c r="E18" s="37"/>
      <c r="F18" s="37"/>
    </row>
    <row r="19" spans="2:6" ht="14">
      <c r="B19" s="48"/>
      <c r="C19" s="48"/>
      <c r="D19" s="48"/>
      <c r="E19" s="48"/>
      <c r="F19" s="48"/>
    </row>
    <row r="20" spans="2:6">
      <c r="B20" s="49"/>
      <c r="C20" s="37"/>
      <c r="D20" s="37"/>
      <c r="E20" s="37"/>
      <c r="F20" s="50"/>
    </row>
    <row r="21" spans="2:6">
      <c r="B21" s="37"/>
      <c r="C21" s="37"/>
      <c r="D21" s="37"/>
      <c r="E21" s="37"/>
      <c r="F21" s="37"/>
    </row>
    <row r="22" spans="2:6">
      <c r="B22" s="37"/>
      <c r="C22" s="37"/>
      <c r="D22" s="37"/>
      <c r="E22" s="37"/>
      <c r="F22" s="37"/>
    </row>
    <row r="23" spans="2:6">
      <c r="B23" s="37"/>
      <c r="C23" s="37"/>
      <c r="D23" s="37"/>
      <c r="E23" s="37"/>
      <c r="F23" s="37"/>
    </row>
    <row r="24" spans="2:6">
      <c r="B24" s="37"/>
      <c r="C24" s="37"/>
      <c r="D24" s="37"/>
      <c r="E24" s="37"/>
      <c r="F24" s="37"/>
    </row>
    <row r="25" spans="2:6">
      <c r="B25" s="37"/>
      <c r="C25" s="37"/>
      <c r="D25" s="37"/>
      <c r="E25" s="37"/>
      <c r="F25" s="37"/>
    </row>
  </sheetData>
  <mergeCells count="13">
    <mergeCell ref="A1:L2"/>
    <mergeCell ref="K3:K4"/>
    <mergeCell ref="L3:L4"/>
    <mergeCell ref="B5:K5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A5" sqref="A5"/>
    </sheetView>
  </sheetViews>
  <sheetFormatPr baseColWidth="10" defaultRowHeight="13" x14ac:dyDescent="0"/>
  <cols>
    <col min="1" max="1" width="10" customWidth="1"/>
    <col min="2" max="2" width="33" customWidth="1"/>
    <col min="3" max="3" width="26.85546875" customWidth="1"/>
    <col min="4" max="4" width="24.28515625" customWidth="1"/>
    <col min="5" max="5" width="18" customWidth="1"/>
  </cols>
  <sheetData>
    <row r="1" spans="1:5" ht="17" thickBot="1">
      <c r="A1" s="173" t="s">
        <v>339</v>
      </c>
      <c r="B1" s="176" t="s">
        <v>616</v>
      </c>
      <c r="C1" s="176" t="s">
        <v>617</v>
      </c>
      <c r="D1" s="176" t="s">
        <v>343</v>
      </c>
      <c r="E1" s="176" t="s">
        <v>618</v>
      </c>
    </row>
    <row r="2" spans="1:5" ht="14" thickBot="1">
      <c r="A2" s="169">
        <v>1</v>
      </c>
      <c r="B2" s="177" t="s">
        <v>619</v>
      </c>
      <c r="C2" s="177" t="s">
        <v>620</v>
      </c>
      <c r="D2" s="177" t="s">
        <v>621</v>
      </c>
      <c r="E2" s="177">
        <v>20</v>
      </c>
    </row>
    <row r="3" spans="1:5" ht="14" thickBot="1">
      <c r="A3" s="169">
        <v>2</v>
      </c>
      <c r="B3" s="177" t="s">
        <v>622</v>
      </c>
      <c r="C3" s="177" t="s">
        <v>197</v>
      </c>
      <c r="D3" s="177" t="s">
        <v>621</v>
      </c>
      <c r="E3" s="177">
        <v>18</v>
      </c>
    </row>
    <row r="4" spans="1:5" ht="14" thickBot="1">
      <c r="A4" s="169">
        <v>3</v>
      </c>
      <c r="B4" s="177" t="s">
        <v>623</v>
      </c>
      <c r="C4" s="177" t="s">
        <v>624</v>
      </c>
      <c r="D4" s="177" t="s">
        <v>625</v>
      </c>
      <c r="E4" s="177">
        <v>17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C14" sqref="C14"/>
    </sheetView>
  </sheetViews>
  <sheetFormatPr baseColWidth="10" defaultRowHeight="13" x14ac:dyDescent="0"/>
  <cols>
    <col min="1" max="1" width="15.5703125" customWidth="1"/>
    <col min="2" max="2" width="23" customWidth="1"/>
  </cols>
  <sheetData>
    <row r="1" spans="1:10" ht="82" customHeight="1">
      <c r="A1" s="228" t="s">
        <v>626</v>
      </c>
      <c r="B1" s="228"/>
      <c r="C1" s="175"/>
      <c r="D1" s="175"/>
      <c r="E1" s="175"/>
      <c r="F1" s="175"/>
      <c r="G1" s="175"/>
      <c r="H1" s="175"/>
      <c r="I1" s="175"/>
      <c r="J1" s="175"/>
    </row>
    <row r="2" spans="1:10" ht="22" customHeight="1">
      <c r="A2" t="s">
        <v>627</v>
      </c>
      <c r="B2" t="s">
        <v>628</v>
      </c>
      <c r="C2" s="175"/>
      <c r="D2" s="175"/>
      <c r="E2" s="175"/>
      <c r="F2" s="175"/>
      <c r="G2" s="175"/>
      <c r="H2" s="175"/>
      <c r="I2" s="175"/>
      <c r="J2" s="175"/>
    </row>
    <row r="3" spans="1:10" ht="21" customHeight="1">
      <c r="A3" t="s">
        <v>629</v>
      </c>
      <c r="B3" t="s">
        <v>630</v>
      </c>
      <c r="C3" s="175"/>
      <c r="D3" s="175"/>
      <c r="E3" s="175"/>
      <c r="F3" s="175"/>
      <c r="G3" s="175"/>
      <c r="H3" s="175"/>
      <c r="I3" s="175"/>
      <c r="J3" s="175"/>
    </row>
    <row r="4" spans="1:10" ht="18">
      <c r="A4" t="s">
        <v>631</v>
      </c>
      <c r="B4" t="s">
        <v>429</v>
      </c>
      <c r="D4" s="174"/>
      <c r="E4" s="174"/>
      <c r="F4" s="174"/>
      <c r="G4" s="174"/>
      <c r="H4" s="174"/>
      <c r="I4" s="174"/>
      <c r="J4" s="174"/>
    </row>
    <row r="5" spans="1:10" ht="18">
      <c r="A5" t="s">
        <v>632</v>
      </c>
      <c r="B5" t="s">
        <v>633</v>
      </c>
      <c r="D5" s="174"/>
      <c r="E5" s="174"/>
      <c r="F5" s="174"/>
      <c r="G5" s="174"/>
      <c r="H5" s="174"/>
      <c r="I5" s="174"/>
      <c r="J5" s="174"/>
    </row>
    <row r="6" spans="1:10" ht="18">
      <c r="A6" t="s">
        <v>632</v>
      </c>
      <c r="B6" t="s">
        <v>634</v>
      </c>
      <c r="D6" s="174"/>
      <c r="E6" s="174"/>
      <c r="F6" s="174"/>
      <c r="G6" s="174"/>
      <c r="H6" s="174"/>
      <c r="I6" s="174"/>
      <c r="J6" s="174"/>
    </row>
    <row r="7" spans="1:10" ht="18">
      <c r="A7" t="s">
        <v>635</v>
      </c>
      <c r="B7" t="s">
        <v>630</v>
      </c>
      <c r="D7" s="174"/>
      <c r="E7" s="174"/>
      <c r="F7" s="174"/>
      <c r="G7" s="174"/>
      <c r="H7" s="174"/>
      <c r="I7" s="174"/>
      <c r="J7" s="174"/>
    </row>
    <row r="8" spans="1:10" ht="18">
      <c r="D8" s="174"/>
      <c r="E8" s="174"/>
      <c r="F8" s="174"/>
      <c r="G8" s="174"/>
      <c r="H8" s="174"/>
      <c r="I8" s="174"/>
      <c r="J8" s="174"/>
    </row>
    <row r="9" spans="1:10" ht="18">
      <c r="D9" s="174"/>
      <c r="E9" s="174"/>
      <c r="F9" s="174"/>
      <c r="G9" s="174"/>
      <c r="H9" s="174"/>
      <c r="I9" s="174"/>
      <c r="J9" s="174"/>
    </row>
    <row r="10" spans="1:10" ht="18">
      <c r="D10" s="174"/>
      <c r="E10" s="174"/>
      <c r="F10" s="174"/>
      <c r="G10" s="174"/>
      <c r="H10" s="174"/>
      <c r="I10" s="174"/>
      <c r="J10" s="174"/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G7" sqref="G7"/>
    </sheetView>
  </sheetViews>
  <sheetFormatPr baseColWidth="10" defaultColWidth="8.7109375" defaultRowHeight="13" x14ac:dyDescent="0"/>
  <cols>
    <col min="2" max="2" width="26" style="22" bestFit="1" customWidth="1"/>
    <col min="3" max="3" width="28.42578125" style="22" bestFit="1" customWidth="1"/>
    <col min="4" max="4" width="12.5703125" style="22" customWidth="1"/>
    <col min="5" max="5" width="8.42578125" style="22" bestFit="1" customWidth="1"/>
    <col min="6" max="6" width="22.7109375" style="22" bestFit="1" customWidth="1"/>
    <col min="7" max="7" width="32" style="22" bestFit="1" customWidth="1"/>
    <col min="8" max="10" width="5.5703125" style="102" bestFit="1" customWidth="1"/>
    <col min="11" max="11" width="4.5703125" style="102" bestFit="1" customWidth="1"/>
    <col min="12" max="13" width="5.5703125" style="102" bestFit="1" customWidth="1"/>
    <col min="14" max="14" width="3.7109375" style="102" customWidth="1"/>
    <col min="15" max="15" width="4.5703125" style="102" bestFit="1" customWidth="1"/>
    <col min="16" max="18" width="5.5703125" style="102" bestFit="1" customWidth="1"/>
    <col min="19" max="19" width="4.5703125" style="102" bestFit="1" customWidth="1"/>
    <col min="20" max="20" width="7.85546875" style="102" bestFit="1" customWidth="1"/>
    <col min="21" max="21" width="8.5703125" style="22" bestFit="1" customWidth="1"/>
    <col min="22" max="22" width="16.42578125" style="22" bestFit="1" customWidth="1"/>
  </cols>
  <sheetData>
    <row r="1" spans="1:22" s="1" customFormat="1" ht="15" customHeight="1">
      <c r="A1" s="183" t="s">
        <v>599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</row>
    <row r="2" spans="1:22" s="1" customFormat="1" ht="113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</row>
    <row r="3" spans="1:22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1</v>
      </c>
      <c r="I3" s="181"/>
      <c r="J3" s="181"/>
      <c r="K3" s="181"/>
      <c r="L3" s="181" t="s">
        <v>2</v>
      </c>
      <c r="M3" s="181"/>
      <c r="N3" s="181"/>
      <c r="O3" s="181"/>
      <c r="P3" s="181" t="s">
        <v>3</v>
      </c>
      <c r="Q3" s="181"/>
      <c r="R3" s="181"/>
      <c r="S3" s="181"/>
      <c r="T3" s="181" t="s">
        <v>4</v>
      </c>
      <c r="U3" s="181" t="s">
        <v>6</v>
      </c>
      <c r="V3" s="193" t="s">
        <v>5</v>
      </c>
    </row>
    <row r="4" spans="1:22" s="2" customFormat="1" ht="21" customHeight="1" thickBot="1">
      <c r="A4" s="192"/>
      <c r="B4" s="189"/>
      <c r="C4" s="190"/>
      <c r="D4" s="190"/>
      <c r="E4" s="182"/>
      <c r="F4" s="182"/>
      <c r="G4" s="182"/>
      <c r="H4" s="100">
        <v>1</v>
      </c>
      <c r="I4" s="100">
        <v>2</v>
      </c>
      <c r="J4" s="100">
        <v>3</v>
      </c>
      <c r="K4" s="100" t="s">
        <v>8</v>
      </c>
      <c r="L4" s="100">
        <v>1</v>
      </c>
      <c r="M4" s="100">
        <v>2</v>
      </c>
      <c r="N4" s="100">
        <v>3</v>
      </c>
      <c r="O4" s="100" t="s">
        <v>8</v>
      </c>
      <c r="P4" s="100">
        <v>1</v>
      </c>
      <c r="Q4" s="100">
        <v>2</v>
      </c>
      <c r="R4" s="100">
        <v>3</v>
      </c>
      <c r="S4" s="100" t="s">
        <v>8</v>
      </c>
      <c r="T4" s="182"/>
      <c r="U4" s="182"/>
      <c r="V4" s="194"/>
    </row>
    <row r="5" spans="1:22" ht="16">
      <c r="B5" s="187" t="s">
        <v>41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1:22">
      <c r="A6" s="97">
        <v>1</v>
      </c>
      <c r="B6" s="29" t="s">
        <v>78</v>
      </c>
      <c r="C6" s="29" t="s">
        <v>79</v>
      </c>
      <c r="D6" s="29" t="s">
        <v>26</v>
      </c>
      <c r="E6" s="29" t="str">
        <f>"0,6384"</f>
        <v>0,6384</v>
      </c>
      <c r="F6" s="29" t="s">
        <v>80</v>
      </c>
      <c r="G6" s="29" t="s">
        <v>81</v>
      </c>
      <c r="H6" s="108" t="s">
        <v>49</v>
      </c>
      <c r="I6" s="108" t="s">
        <v>56</v>
      </c>
      <c r="J6" s="108" t="s">
        <v>82</v>
      </c>
      <c r="K6" s="105"/>
      <c r="L6" s="109" t="s">
        <v>20</v>
      </c>
      <c r="M6" s="108" t="s">
        <v>20</v>
      </c>
      <c r="N6" s="105"/>
      <c r="O6" s="105"/>
      <c r="P6" s="108" t="s">
        <v>83</v>
      </c>
      <c r="Q6" s="108" t="s">
        <v>84</v>
      </c>
      <c r="R6" s="108" t="s">
        <v>35</v>
      </c>
      <c r="S6" s="105"/>
      <c r="T6" s="90">
        <v>497.5</v>
      </c>
      <c r="U6" s="29" t="str">
        <f>"317,6040"</f>
        <v>317,6040</v>
      </c>
      <c r="V6" s="29" t="s">
        <v>345</v>
      </c>
    </row>
    <row r="7" spans="1:22">
      <c r="A7" s="166" t="s">
        <v>587</v>
      </c>
      <c r="B7" s="30" t="s">
        <v>86</v>
      </c>
      <c r="C7" s="30" t="s">
        <v>87</v>
      </c>
      <c r="D7" s="30" t="s">
        <v>445</v>
      </c>
      <c r="E7" s="30" t="str">
        <f>"0,6424"</f>
        <v>0,6424</v>
      </c>
      <c r="F7" s="30" t="s">
        <v>13</v>
      </c>
      <c r="G7" s="30" t="s">
        <v>615</v>
      </c>
      <c r="H7" s="110" t="s">
        <v>83</v>
      </c>
      <c r="I7" s="110" t="s">
        <v>83</v>
      </c>
      <c r="J7" s="110" t="s">
        <v>83</v>
      </c>
      <c r="K7" s="106"/>
      <c r="L7" s="110" t="s">
        <v>49</v>
      </c>
      <c r="M7" s="106"/>
      <c r="N7" s="106"/>
      <c r="O7" s="106"/>
      <c r="P7" s="110" t="s">
        <v>33</v>
      </c>
      <c r="Q7" s="106"/>
      <c r="R7" s="106"/>
      <c r="S7" s="106"/>
      <c r="T7" s="92">
        <v>0</v>
      </c>
      <c r="U7" s="30" t="str">
        <f>"0,0000"</f>
        <v>0,0000</v>
      </c>
      <c r="V7" s="30" t="s">
        <v>447</v>
      </c>
    </row>
    <row r="9" spans="1:22" ht="16">
      <c r="B9" s="178" t="s">
        <v>62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</row>
    <row r="10" spans="1:22">
      <c r="A10" s="164" t="s">
        <v>587</v>
      </c>
      <c r="B10" s="31" t="s">
        <v>88</v>
      </c>
      <c r="C10" s="31" t="s">
        <v>89</v>
      </c>
      <c r="D10" s="31" t="s">
        <v>419</v>
      </c>
      <c r="E10" s="31" t="str">
        <f>"0,5943"</f>
        <v>0,5943</v>
      </c>
      <c r="F10" s="31" t="s">
        <v>90</v>
      </c>
      <c r="G10" s="31" t="s">
        <v>24</v>
      </c>
      <c r="H10" s="104" t="s">
        <v>33</v>
      </c>
      <c r="I10" s="104" t="s">
        <v>33</v>
      </c>
      <c r="J10" s="104" t="s">
        <v>33</v>
      </c>
      <c r="K10" s="101"/>
      <c r="L10" s="104" t="s">
        <v>91</v>
      </c>
      <c r="M10" s="101"/>
      <c r="N10" s="101"/>
      <c r="O10" s="101"/>
      <c r="P10" s="104" t="s">
        <v>92</v>
      </c>
      <c r="Q10" s="101"/>
      <c r="R10" s="101"/>
      <c r="S10" s="101"/>
      <c r="T10" s="93">
        <v>0</v>
      </c>
      <c r="U10" s="31" t="str">
        <f>"0,0000"</f>
        <v>0,0000</v>
      </c>
      <c r="V10" s="31" t="s">
        <v>446</v>
      </c>
    </row>
    <row r="12" spans="1:22" ht="16">
      <c r="B12" s="37"/>
      <c r="C12" s="37"/>
      <c r="D12" s="37"/>
      <c r="E12" s="37"/>
      <c r="F12" s="43"/>
      <c r="G12" s="37"/>
    </row>
    <row r="13" spans="1:22" ht="16">
      <c r="B13" s="37"/>
      <c r="C13" s="37"/>
      <c r="D13" s="37"/>
      <c r="E13" s="37"/>
      <c r="F13" s="43"/>
      <c r="G13" s="37"/>
    </row>
    <row r="14" spans="1:22" ht="16">
      <c r="B14" s="37"/>
      <c r="C14" s="37"/>
      <c r="D14" s="37"/>
      <c r="E14" s="37"/>
      <c r="F14" s="43"/>
      <c r="G14" s="37"/>
    </row>
    <row r="15" spans="1:22" ht="16">
      <c r="B15" s="37"/>
      <c r="C15" s="37"/>
      <c r="D15" s="37"/>
      <c r="E15" s="37"/>
      <c r="F15" s="43"/>
      <c r="G15" s="37"/>
    </row>
    <row r="16" spans="1:22" ht="16">
      <c r="B16" s="37"/>
      <c r="C16" s="37"/>
      <c r="D16" s="37"/>
      <c r="E16" s="37"/>
      <c r="F16" s="43"/>
      <c r="G16" s="37"/>
    </row>
    <row r="17" spans="2:7" ht="16">
      <c r="B17" s="37"/>
      <c r="C17" s="37"/>
      <c r="D17" s="37"/>
      <c r="E17" s="37"/>
      <c r="F17" s="43"/>
      <c r="G17" s="37"/>
    </row>
    <row r="18" spans="2:7" ht="16">
      <c r="B18" s="37"/>
      <c r="C18" s="37"/>
      <c r="D18" s="37"/>
      <c r="E18" s="37"/>
      <c r="F18" s="43"/>
      <c r="G18" s="37"/>
    </row>
    <row r="19" spans="2:7">
      <c r="B19" s="37"/>
      <c r="C19" s="37"/>
      <c r="D19" s="37"/>
      <c r="E19" s="37"/>
      <c r="F19" s="37"/>
      <c r="G19" s="37"/>
    </row>
    <row r="20" spans="2:7" ht="18">
      <c r="B20" s="44"/>
      <c r="C20" s="44"/>
      <c r="D20" s="37"/>
      <c r="E20" s="37"/>
      <c r="F20" s="37"/>
      <c r="G20" s="37"/>
    </row>
    <row r="21" spans="2:7" ht="16">
      <c r="B21" s="45"/>
      <c r="C21" s="45"/>
      <c r="D21" s="37"/>
      <c r="E21" s="37"/>
      <c r="F21" s="37"/>
      <c r="G21" s="37"/>
    </row>
    <row r="22" spans="2:7" ht="14">
      <c r="B22" s="46"/>
      <c r="C22" s="47"/>
      <c r="D22" s="37"/>
      <c r="E22" s="37"/>
      <c r="F22" s="37"/>
      <c r="G22" s="37"/>
    </row>
    <row r="23" spans="2:7" ht="14">
      <c r="B23" s="48"/>
      <c r="C23" s="48"/>
      <c r="D23" s="48"/>
      <c r="E23" s="48"/>
      <c r="F23" s="48"/>
      <c r="G23" s="37"/>
    </row>
    <row r="24" spans="2:7">
      <c r="B24" s="49"/>
      <c r="C24" s="37"/>
      <c r="D24" s="37"/>
      <c r="E24" s="37"/>
      <c r="F24" s="50"/>
      <c r="G24" s="37"/>
    </row>
    <row r="25" spans="2:7">
      <c r="B25" s="37"/>
      <c r="C25" s="37"/>
      <c r="D25" s="37"/>
      <c r="E25" s="37"/>
      <c r="F25" s="37"/>
      <c r="G25" s="37"/>
    </row>
    <row r="26" spans="2:7">
      <c r="B26" s="37"/>
      <c r="C26" s="37"/>
      <c r="D26" s="37"/>
      <c r="E26" s="37"/>
      <c r="F26" s="37"/>
      <c r="G26" s="37"/>
    </row>
  </sheetData>
  <mergeCells count="16">
    <mergeCell ref="A1:V2"/>
    <mergeCell ref="A3:A4"/>
    <mergeCell ref="B5:U5"/>
    <mergeCell ref="B9:U9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pageSetUpPr fitToPage="1"/>
  </sheetPr>
  <dimension ref="A1:V49"/>
  <sheetViews>
    <sheetView workbookViewId="0">
      <selection activeCell="F31" sqref="F31"/>
    </sheetView>
  </sheetViews>
  <sheetFormatPr baseColWidth="10" defaultColWidth="8.7109375" defaultRowHeight="13" x14ac:dyDescent="0"/>
  <cols>
    <col min="1" max="1" width="8.7109375" style="114"/>
    <col min="2" max="2" width="28.28515625" style="144" bestFit="1" customWidth="1"/>
    <col min="3" max="3" width="28.42578125" style="4" bestFit="1" customWidth="1"/>
    <col min="4" max="4" width="12.28515625" style="1" customWidth="1"/>
    <col min="5" max="5" width="8.42578125" style="1" bestFit="1" customWidth="1"/>
    <col min="6" max="6" width="22.7109375" style="4" bestFit="1" customWidth="1"/>
    <col min="7" max="7" width="29.28515625" style="4" bestFit="1" customWidth="1"/>
    <col min="8" max="10" width="5.5703125" style="114" bestFit="1" customWidth="1"/>
    <col min="11" max="11" width="4.5703125" style="114" bestFit="1" customWidth="1"/>
    <col min="12" max="14" width="5.5703125" style="114" bestFit="1" customWidth="1"/>
    <col min="15" max="15" width="4.5703125" style="114" bestFit="1" customWidth="1"/>
    <col min="16" max="18" width="5.5703125" style="114" bestFit="1" customWidth="1"/>
    <col min="19" max="19" width="4.5703125" style="114" bestFit="1" customWidth="1"/>
    <col min="20" max="20" width="7.85546875" style="114" bestFit="1" customWidth="1"/>
    <col min="21" max="21" width="8.5703125" style="114" bestFit="1" customWidth="1"/>
    <col min="22" max="22" width="15.42578125" style="4" bestFit="1" customWidth="1"/>
    <col min="23" max="16384" width="8.7109375" style="1"/>
  </cols>
  <sheetData>
    <row r="1" spans="1:22" ht="15" customHeight="1">
      <c r="A1" s="183" t="s">
        <v>594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</row>
    <row r="2" spans="1:22" ht="103.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</row>
    <row r="3" spans="1:22" s="2" customFormat="1" ht="12.75" customHeight="1" thickBot="1">
      <c r="A3" s="191" t="s">
        <v>339</v>
      </c>
      <c r="B3" s="188" t="s">
        <v>0</v>
      </c>
      <c r="C3" s="20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1</v>
      </c>
      <c r="I3" s="181"/>
      <c r="J3" s="181"/>
      <c r="K3" s="181"/>
      <c r="L3" s="181" t="s">
        <v>2</v>
      </c>
      <c r="M3" s="181"/>
      <c r="N3" s="181"/>
      <c r="O3" s="181"/>
      <c r="P3" s="181" t="s">
        <v>3</v>
      </c>
      <c r="Q3" s="181"/>
      <c r="R3" s="181"/>
      <c r="S3" s="181"/>
      <c r="T3" s="181" t="s">
        <v>4</v>
      </c>
      <c r="U3" s="181" t="s">
        <v>6</v>
      </c>
      <c r="V3" s="193" t="s">
        <v>5</v>
      </c>
    </row>
    <row r="4" spans="1:22" s="2" customFormat="1" ht="21" customHeight="1" thickBot="1">
      <c r="A4" s="192"/>
      <c r="B4" s="199"/>
      <c r="C4" s="201"/>
      <c r="D4" s="190"/>
      <c r="E4" s="182"/>
      <c r="F4" s="182"/>
      <c r="G4" s="182"/>
      <c r="H4" s="100">
        <v>1</v>
      </c>
      <c r="I4" s="100">
        <v>2</v>
      </c>
      <c r="J4" s="100">
        <v>3</v>
      </c>
      <c r="K4" s="100" t="s">
        <v>8</v>
      </c>
      <c r="L4" s="100">
        <v>1</v>
      </c>
      <c r="M4" s="100">
        <v>2</v>
      </c>
      <c r="N4" s="100">
        <v>3</v>
      </c>
      <c r="O4" s="100" t="s">
        <v>8</v>
      </c>
      <c r="P4" s="100">
        <v>1</v>
      </c>
      <c r="Q4" s="100">
        <v>2</v>
      </c>
      <c r="R4" s="100">
        <v>3</v>
      </c>
      <c r="S4" s="100" t="s">
        <v>8</v>
      </c>
      <c r="T4" s="182"/>
      <c r="U4" s="182"/>
      <c r="V4" s="194"/>
    </row>
    <row r="5" spans="1:22" ht="16">
      <c r="B5" s="197" t="s">
        <v>10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7"/>
      <c r="U5" s="198"/>
    </row>
    <row r="6" spans="1:22">
      <c r="A6" s="118" t="s">
        <v>340</v>
      </c>
      <c r="B6" s="140" t="s">
        <v>11</v>
      </c>
      <c r="C6" s="9" t="s">
        <v>12</v>
      </c>
      <c r="D6" s="8" t="s">
        <v>448</v>
      </c>
      <c r="E6" s="8" t="str">
        <f>"1,1866"</f>
        <v>1,1866</v>
      </c>
      <c r="F6" s="9" t="s">
        <v>13</v>
      </c>
      <c r="G6" s="9" t="s">
        <v>14</v>
      </c>
      <c r="H6" s="103" t="s">
        <v>15</v>
      </c>
      <c r="I6" s="126" t="s">
        <v>16</v>
      </c>
      <c r="J6" s="103" t="s">
        <v>16</v>
      </c>
      <c r="K6" s="119"/>
      <c r="L6" s="126" t="s">
        <v>17</v>
      </c>
      <c r="M6" s="103" t="s">
        <v>17</v>
      </c>
      <c r="N6" s="103" t="s">
        <v>18</v>
      </c>
      <c r="O6" s="119"/>
      <c r="P6" s="103" t="s">
        <v>19</v>
      </c>
      <c r="Q6" s="103" t="s">
        <v>20</v>
      </c>
      <c r="R6" s="103" t="s">
        <v>21</v>
      </c>
      <c r="S6" s="119"/>
      <c r="T6" s="118" t="s">
        <v>453</v>
      </c>
      <c r="U6" s="118" t="str">
        <f>"347,0805"</f>
        <v>347,0805</v>
      </c>
      <c r="V6" s="9" t="s">
        <v>459</v>
      </c>
    </row>
    <row r="8" spans="1:22" ht="16">
      <c r="B8" s="195" t="s">
        <v>10</v>
      </c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5"/>
      <c r="U8" s="196"/>
    </row>
    <row r="9" spans="1:22">
      <c r="A9" s="118" t="s">
        <v>340</v>
      </c>
      <c r="B9" s="140" t="s">
        <v>22</v>
      </c>
      <c r="C9" s="9" t="s">
        <v>23</v>
      </c>
      <c r="D9" s="8" t="s">
        <v>449</v>
      </c>
      <c r="E9" s="8" t="str">
        <f>"0,9103"</f>
        <v>0,9103</v>
      </c>
      <c r="F9" s="9" t="s">
        <v>13</v>
      </c>
      <c r="G9" s="9" t="s">
        <v>24</v>
      </c>
      <c r="H9" s="103" t="s">
        <v>25</v>
      </c>
      <c r="I9" s="126" t="s">
        <v>26</v>
      </c>
      <c r="J9" s="126" t="s">
        <v>26</v>
      </c>
      <c r="K9" s="119"/>
      <c r="L9" s="103" t="s">
        <v>27</v>
      </c>
      <c r="M9" s="103" t="s">
        <v>28</v>
      </c>
      <c r="N9" s="119"/>
      <c r="O9" s="119"/>
      <c r="P9" s="103" t="s">
        <v>19</v>
      </c>
      <c r="Q9" s="103" t="s">
        <v>20</v>
      </c>
      <c r="R9" s="126" t="s">
        <v>21</v>
      </c>
      <c r="S9" s="119"/>
      <c r="T9" s="118" t="s">
        <v>454</v>
      </c>
      <c r="U9" s="118" t="str">
        <f>"241,2295"</f>
        <v>241,2295</v>
      </c>
      <c r="V9" s="9" t="s">
        <v>134</v>
      </c>
    </row>
    <row r="11" spans="1:22" ht="16">
      <c r="B11" s="195" t="s">
        <v>29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5"/>
      <c r="U11" s="196"/>
    </row>
    <row r="12" spans="1:22">
      <c r="A12" s="120" t="s">
        <v>340</v>
      </c>
      <c r="B12" s="151" t="s">
        <v>30</v>
      </c>
      <c r="C12" s="12" t="s">
        <v>31</v>
      </c>
      <c r="D12" s="11" t="s">
        <v>450</v>
      </c>
      <c r="E12" s="11" t="str">
        <f>"0,7186"</f>
        <v>0,7186</v>
      </c>
      <c r="F12" s="12" t="s">
        <v>13</v>
      </c>
      <c r="G12" s="12" t="s">
        <v>32</v>
      </c>
      <c r="H12" s="108" t="s">
        <v>33</v>
      </c>
      <c r="I12" s="108" t="s">
        <v>34</v>
      </c>
      <c r="J12" s="108" t="s">
        <v>35</v>
      </c>
      <c r="K12" s="121"/>
      <c r="L12" s="108" t="s">
        <v>36</v>
      </c>
      <c r="M12" s="108" t="s">
        <v>15</v>
      </c>
      <c r="N12" s="127" t="s">
        <v>37</v>
      </c>
      <c r="O12" s="121"/>
      <c r="P12" s="108" t="s">
        <v>34</v>
      </c>
      <c r="Q12" s="108" t="s">
        <v>38</v>
      </c>
      <c r="R12" s="127" t="s">
        <v>39</v>
      </c>
      <c r="S12" s="121"/>
      <c r="T12" s="120" t="s">
        <v>455</v>
      </c>
      <c r="U12" s="120" t="str">
        <f>"384,4510"</f>
        <v>384,4510</v>
      </c>
      <c r="V12" s="12" t="s">
        <v>134</v>
      </c>
    </row>
    <row r="13" spans="1:22">
      <c r="A13" s="122" t="s">
        <v>340</v>
      </c>
      <c r="B13" s="155" t="s">
        <v>30</v>
      </c>
      <c r="C13" s="15" t="s">
        <v>40</v>
      </c>
      <c r="D13" s="14" t="s">
        <v>450</v>
      </c>
      <c r="E13" s="14" t="str">
        <f>"0,7186"</f>
        <v>0,7186</v>
      </c>
      <c r="F13" s="15" t="s">
        <v>13</v>
      </c>
      <c r="G13" s="15" t="s">
        <v>32</v>
      </c>
      <c r="H13" s="111" t="s">
        <v>33</v>
      </c>
      <c r="I13" s="111" t="s">
        <v>34</v>
      </c>
      <c r="J13" s="111" t="s">
        <v>35</v>
      </c>
      <c r="K13" s="123"/>
      <c r="L13" s="111" t="s">
        <v>36</v>
      </c>
      <c r="M13" s="111" t="s">
        <v>15</v>
      </c>
      <c r="N13" s="128" t="s">
        <v>37</v>
      </c>
      <c r="O13" s="123"/>
      <c r="P13" s="111" t="s">
        <v>34</v>
      </c>
      <c r="Q13" s="111" t="s">
        <v>38</v>
      </c>
      <c r="R13" s="128" t="s">
        <v>39</v>
      </c>
      <c r="S13" s="123"/>
      <c r="T13" s="122" t="s">
        <v>455</v>
      </c>
      <c r="U13" s="122" t="str">
        <f>"384,4510"</f>
        <v>384,4510</v>
      </c>
      <c r="V13" s="15" t="s">
        <v>134</v>
      </c>
    </row>
    <row r="15" spans="1:22" ht="16">
      <c r="B15" s="195" t="s">
        <v>41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5"/>
      <c r="U15" s="196"/>
    </row>
    <row r="16" spans="1:22">
      <c r="A16" s="120" t="s">
        <v>340</v>
      </c>
      <c r="B16" s="151" t="s">
        <v>42</v>
      </c>
      <c r="C16" s="12" t="s">
        <v>43</v>
      </c>
      <c r="D16" s="11" t="s">
        <v>451</v>
      </c>
      <c r="E16" s="11" t="str">
        <f>"0,6395"</f>
        <v>0,6395</v>
      </c>
      <c r="F16" s="12" t="s">
        <v>44</v>
      </c>
      <c r="G16" s="12" t="s">
        <v>24</v>
      </c>
      <c r="H16" s="108" t="s">
        <v>45</v>
      </c>
      <c r="I16" s="108" t="s">
        <v>46</v>
      </c>
      <c r="J16" s="108" t="s">
        <v>47</v>
      </c>
      <c r="K16" s="121"/>
      <c r="L16" s="108" t="s">
        <v>48</v>
      </c>
      <c r="M16" s="108" t="s">
        <v>49</v>
      </c>
      <c r="N16" s="127" t="s">
        <v>50</v>
      </c>
      <c r="O16" s="121"/>
      <c r="P16" s="127" t="s">
        <v>51</v>
      </c>
      <c r="Q16" s="108" t="s">
        <v>52</v>
      </c>
      <c r="R16" s="108" t="s">
        <v>53</v>
      </c>
      <c r="S16" s="121"/>
      <c r="T16" s="120" t="s">
        <v>456</v>
      </c>
      <c r="U16" s="120" t="str">
        <f>"422,0700"</f>
        <v>422,0700</v>
      </c>
      <c r="V16" s="12" t="s">
        <v>134</v>
      </c>
    </row>
    <row r="17" spans="1:22">
      <c r="A17" s="124" t="s">
        <v>367</v>
      </c>
      <c r="B17" s="153" t="s">
        <v>54</v>
      </c>
      <c r="C17" s="18" t="s">
        <v>55</v>
      </c>
      <c r="D17" s="17" t="s">
        <v>409</v>
      </c>
      <c r="E17" s="17" t="str">
        <f>"0,6451"</f>
        <v>0,6451</v>
      </c>
      <c r="F17" s="18" t="s">
        <v>13</v>
      </c>
      <c r="G17" s="18" t="s">
        <v>24</v>
      </c>
      <c r="H17" s="113" t="s">
        <v>45</v>
      </c>
      <c r="I17" s="113" t="s">
        <v>51</v>
      </c>
      <c r="J17" s="113" t="s">
        <v>47</v>
      </c>
      <c r="K17" s="125"/>
      <c r="L17" s="113" t="s">
        <v>48</v>
      </c>
      <c r="M17" s="113" t="s">
        <v>50</v>
      </c>
      <c r="N17" s="129" t="s">
        <v>56</v>
      </c>
      <c r="O17" s="125"/>
      <c r="P17" s="113" t="s">
        <v>39</v>
      </c>
      <c r="Q17" s="113" t="s">
        <v>47</v>
      </c>
      <c r="R17" s="129" t="s">
        <v>53</v>
      </c>
      <c r="S17" s="125"/>
      <c r="T17" s="124" t="s">
        <v>457</v>
      </c>
      <c r="U17" s="124" t="str">
        <f>"422,5405"</f>
        <v>422,5405</v>
      </c>
      <c r="V17" s="18" t="s">
        <v>134</v>
      </c>
    </row>
    <row r="18" spans="1:22">
      <c r="A18" s="122" t="s">
        <v>460</v>
      </c>
      <c r="B18" s="155" t="s">
        <v>57</v>
      </c>
      <c r="C18" s="15" t="s">
        <v>58</v>
      </c>
      <c r="D18" s="14" t="s">
        <v>451</v>
      </c>
      <c r="E18" s="14" t="str">
        <f>"0,6395"</f>
        <v>0,6395</v>
      </c>
      <c r="F18" s="15" t="s">
        <v>13</v>
      </c>
      <c r="G18" s="15" t="s">
        <v>14</v>
      </c>
      <c r="H18" s="111" t="s">
        <v>59</v>
      </c>
      <c r="I18" s="128" t="s">
        <v>46</v>
      </c>
      <c r="J18" s="128" t="s">
        <v>46</v>
      </c>
      <c r="K18" s="123"/>
      <c r="L18" s="111" t="s">
        <v>56</v>
      </c>
      <c r="M18" s="128" t="s">
        <v>60</v>
      </c>
      <c r="N18" s="128" t="s">
        <v>60</v>
      </c>
      <c r="O18" s="123"/>
      <c r="P18" s="111" t="s">
        <v>39</v>
      </c>
      <c r="Q18" s="111" t="s">
        <v>51</v>
      </c>
      <c r="R18" s="128" t="s">
        <v>61</v>
      </c>
      <c r="S18" s="123"/>
      <c r="T18" s="122" t="s">
        <v>458</v>
      </c>
      <c r="U18" s="122" t="str">
        <f>"399,6875"</f>
        <v>399,6875</v>
      </c>
      <c r="V18" s="15" t="s">
        <v>459</v>
      </c>
    </row>
    <row r="20" spans="1:22" ht="16">
      <c r="B20" s="195" t="s">
        <v>62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5"/>
      <c r="U20" s="196"/>
    </row>
    <row r="21" spans="1:22">
      <c r="A21" s="118" t="s">
        <v>587</v>
      </c>
      <c r="B21" s="140" t="s">
        <v>63</v>
      </c>
      <c r="C21" s="9" t="s">
        <v>64</v>
      </c>
      <c r="D21" s="8" t="s">
        <v>452</v>
      </c>
      <c r="E21" s="8" t="str">
        <f>"0,5946"</f>
        <v>0,5946</v>
      </c>
      <c r="F21" s="9" t="s">
        <v>13</v>
      </c>
      <c r="G21" s="9" t="s">
        <v>65</v>
      </c>
      <c r="H21" s="126" t="s">
        <v>59</v>
      </c>
      <c r="I21" s="126" t="s">
        <v>59</v>
      </c>
      <c r="J21" s="126" t="s">
        <v>59</v>
      </c>
      <c r="K21" s="119"/>
      <c r="L21" s="126" t="s">
        <v>66</v>
      </c>
      <c r="M21" s="119"/>
      <c r="N21" s="119"/>
      <c r="O21" s="119"/>
      <c r="P21" s="126" t="s">
        <v>39</v>
      </c>
      <c r="Q21" s="119"/>
      <c r="R21" s="119"/>
      <c r="S21" s="119"/>
      <c r="T21" s="118" t="s">
        <v>67</v>
      </c>
      <c r="U21" s="118" t="str">
        <f>"0,0000"</f>
        <v>0,0000</v>
      </c>
      <c r="V21" s="9" t="s">
        <v>134</v>
      </c>
    </row>
    <row r="23" spans="1:22" ht="16">
      <c r="F23" s="19"/>
    </row>
    <row r="24" spans="1:22" ht="16">
      <c r="F24" s="19"/>
    </row>
    <row r="25" spans="1:22" ht="16">
      <c r="F25" s="19"/>
    </row>
    <row r="26" spans="1:22" ht="16">
      <c r="F26" s="19"/>
    </row>
    <row r="27" spans="1:22" ht="16">
      <c r="F27" s="19"/>
    </row>
    <row r="28" spans="1:22" ht="16">
      <c r="F28" s="19"/>
    </row>
    <row r="29" spans="1:22" ht="16">
      <c r="F29" s="19"/>
    </row>
    <row r="31" spans="1:22" ht="18">
      <c r="B31" s="145"/>
      <c r="C31" s="145"/>
    </row>
    <row r="32" spans="1:22" ht="16">
      <c r="B32" s="146"/>
      <c r="C32" s="146"/>
    </row>
    <row r="33" spans="2:6" ht="14">
      <c r="B33" s="147"/>
      <c r="C33" s="157"/>
    </row>
    <row r="34" spans="2:6" ht="14">
      <c r="B34" s="148"/>
      <c r="C34" s="163"/>
      <c r="D34" s="2"/>
      <c r="E34" s="2"/>
      <c r="F34" s="2"/>
    </row>
    <row r="35" spans="2:6">
      <c r="B35" s="149"/>
      <c r="F35" s="3"/>
    </row>
    <row r="38" spans="2:6" ht="16">
      <c r="B38" s="146"/>
      <c r="C38" s="146"/>
    </row>
    <row r="39" spans="2:6" ht="14">
      <c r="B39" s="147"/>
      <c r="C39" s="157"/>
    </row>
    <row r="40" spans="2:6" ht="14">
      <c r="B40" s="148"/>
      <c r="C40" s="163"/>
      <c r="D40" s="2"/>
      <c r="E40" s="2"/>
      <c r="F40" s="2"/>
    </row>
    <row r="41" spans="2:6">
      <c r="B41" s="149"/>
      <c r="F41" s="3"/>
    </row>
    <row r="43" spans="2:6" ht="14">
      <c r="B43" s="147"/>
      <c r="C43" s="157"/>
    </row>
    <row r="44" spans="2:6" ht="14">
      <c r="B44" s="148"/>
      <c r="C44" s="163"/>
      <c r="D44" s="2"/>
      <c r="E44" s="2"/>
      <c r="F44" s="2"/>
    </row>
    <row r="45" spans="2:6">
      <c r="B45" s="149"/>
      <c r="F45" s="3"/>
    </row>
    <row r="46" spans="2:6">
      <c r="B46" s="149"/>
      <c r="F46" s="3"/>
    </row>
    <row r="47" spans="2:6">
      <c r="B47" s="149"/>
      <c r="F47" s="3"/>
    </row>
    <row r="48" spans="2:6">
      <c r="B48" s="149"/>
      <c r="F48" s="3"/>
    </row>
    <row r="49" spans="2:6">
      <c r="B49" s="149"/>
      <c r="F49" s="3"/>
    </row>
  </sheetData>
  <mergeCells count="19">
    <mergeCell ref="B3:B4"/>
    <mergeCell ref="C3:C4"/>
    <mergeCell ref="D3:D4"/>
    <mergeCell ref="A1:V2"/>
    <mergeCell ref="A3:A4"/>
    <mergeCell ref="B15:U15"/>
    <mergeCell ref="B20:U20"/>
    <mergeCell ref="V3:V4"/>
    <mergeCell ref="G3:G4"/>
    <mergeCell ref="F3:F4"/>
    <mergeCell ref="B5:U5"/>
    <mergeCell ref="B8:U8"/>
    <mergeCell ref="B11:U11"/>
    <mergeCell ref="E3:E4"/>
    <mergeCell ref="T3:T4"/>
    <mergeCell ref="U3:U4"/>
    <mergeCell ref="H3:K3"/>
    <mergeCell ref="L3:O3"/>
    <mergeCell ref="P3:S3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/>
  <headerFooter alignWithMargins="0">
    <oddFooter>&amp;L&amp;G&amp;R&amp;D&amp;T&amp;P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sqref="A1:V2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8.5703125" style="22" bestFit="1" customWidth="1"/>
    <col min="4" max="4" width="16.140625" style="22" customWidth="1"/>
    <col min="5" max="5" width="8.42578125" style="22" bestFit="1" customWidth="1"/>
    <col min="6" max="6" width="22.7109375" style="22" bestFit="1" customWidth="1"/>
    <col min="7" max="7" width="29" style="22" bestFit="1" customWidth="1"/>
    <col min="8" max="10" width="5.5703125" style="102" bestFit="1" customWidth="1"/>
    <col min="11" max="11" width="4.5703125" style="102" bestFit="1" customWidth="1"/>
    <col min="12" max="14" width="5.5703125" style="102" bestFit="1" customWidth="1"/>
    <col min="15" max="15" width="4.5703125" style="102" bestFit="1" customWidth="1"/>
    <col min="16" max="18" width="5.5703125" style="102" bestFit="1" customWidth="1"/>
    <col min="19" max="19" width="4.5703125" style="102" bestFit="1" customWidth="1"/>
    <col min="20" max="20" width="7.85546875" style="102" bestFit="1" customWidth="1"/>
    <col min="21" max="21" width="8.5703125" style="22" bestFit="1" customWidth="1"/>
    <col min="22" max="22" width="12.7109375" style="22" bestFit="1" customWidth="1"/>
  </cols>
  <sheetData>
    <row r="1" spans="1:22" s="1" customFormat="1" ht="15" customHeight="1">
      <c r="A1" s="183" t="s">
        <v>598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4"/>
    </row>
    <row r="2" spans="1:22" s="1" customFormat="1" ht="111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4"/>
    </row>
    <row r="3" spans="1:22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1</v>
      </c>
      <c r="I3" s="181"/>
      <c r="J3" s="181"/>
      <c r="K3" s="181"/>
      <c r="L3" s="181" t="s">
        <v>2</v>
      </c>
      <c r="M3" s="181"/>
      <c r="N3" s="181"/>
      <c r="O3" s="181"/>
      <c r="P3" s="181" t="s">
        <v>3</v>
      </c>
      <c r="Q3" s="181"/>
      <c r="R3" s="181"/>
      <c r="S3" s="181"/>
      <c r="T3" s="181" t="s">
        <v>4</v>
      </c>
      <c r="U3" s="181" t="s">
        <v>6</v>
      </c>
      <c r="V3" s="193" t="s">
        <v>5</v>
      </c>
    </row>
    <row r="4" spans="1:22" s="2" customFormat="1" ht="21" customHeight="1" thickBot="1">
      <c r="A4" s="192"/>
      <c r="B4" s="189"/>
      <c r="C4" s="190"/>
      <c r="D4" s="190"/>
      <c r="E4" s="182"/>
      <c r="F4" s="182"/>
      <c r="G4" s="182"/>
      <c r="H4" s="100">
        <v>1</v>
      </c>
      <c r="I4" s="100">
        <v>2</v>
      </c>
      <c r="J4" s="100">
        <v>3</v>
      </c>
      <c r="K4" s="100" t="s">
        <v>8</v>
      </c>
      <c r="L4" s="100">
        <v>1</v>
      </c>
      <c r="M4" s="100">
        <v>2</v>
      </c>
      <c r="N4" s="100">
        <v>3</v>
      </c>
      <c r="O4" s="100" t="s">
        <v>8</v>
      </c>
      <c r="P4" s="100">
        <v>1</v>
      </c>
      <c r="Q4" s="100">
        <v>2</v>
      </c>
      <c r="R4" s="100">
        <v>3</v>
      </c>
      <c r="S4" s="100" t="s">
        <v>8</v>
      </c>
      <c r="T4" s="182"/>
      <c r="U4" s="182"/>
      <c r="V4" s="194"/>
    </row>
    <row r="5" spans="1:22" ht="16">
      <c r="B5" s="187" t="s">
        <v>93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</row>
    <row r="6" spans="1:22">
      <c r="A6" s="82">
        <v>1</v>
      </c>
      <c r="B6" s="31" t="s">
        <v>94</v>
      </c>
      <c r="C6" s="31" t="s">
        <v>95</v>
      </c>
      <c r="D6" s="31" t="s">
        <v>368</v>
      </c>
      <c r="E6" s="31" t="str">
        <f>"1,0351"</f>
        <v>1,0351</v>
      </c>
      <c r="F6" s="31" t="s">
        <v>13</v>
      </c>
      <c r="G6" s="31" t="s">
        <v>24</v>
      </c>
      <c r="H6" s="103" t="s">
        <v>96</v>
      </c>
      <c r="I6" s="103" t="s">
        <v>20</v>
      </c>
      <c r="J6" s="104" t="s">
        <v>91</v>
      </c>
      <c r="K6" s="101"/>
      <c r="L6" s="103" t="s">
        <v>97</v>
      </c>
      <c r="M6" s="104" t="s">
        <v>98</v>
      </c>
      <c r="N6" s="104" t="s">
        <v>98</v>
      </c>
      <c r="O6" s="101"/>
      <c r="P6" s="103" t="s">
        <v>99</v>
      </c>
      <c r="Q6" s="103" t="s">
        <v>48</v>
      </c>
      <c r="R6" s="104" t="s">
        <v>49</v>
      </c>
      <c r="S6" s="101"/>
      <c r="T6" s="93" t="s">
        <v>104</v>
      </c>
      <c r="U6" s="31" t="str">
        <f>"341,5830"</f>
        <v>341,5830</v>
      </c>
      <c r="V6" s="31" t="s">
        <v>100</v>
      </c>
    </row>
    <row r="8" spans="1:22" ht="16">
      <c r="B8" s="178" t="s">
        <v>29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</row>
    <row r="9" spans="1:22">
      <c r="A9" s="82">
        <v>1</v>
      </c>
      <c r="B9" s="31" t="s">
        <v>101</v>
      </c>
      <c r="C9" s="31" t="s">
        <v>102</v>
      </c>
      <c r="D9" s="31" t="s">
        <v>444</v>
      </c>
      <c r="E9" s="31" t="str">
        <f>"0,7207"</f>
        <v>0,7207</v>
      </c>
      <c r="F9" s="31" t="s">
        <v>80</v>
      </c>
      <c r="G9" s="31" t="s">
        <v>81</v>
      </c>
      <c r="H9" s="103" t="s">
        <v>83</v>
      </c>
      <c r="I9" s="103" t="s">
        <v>103</v>
      </c>
      <c r="J9" s="104" t="s">
        <v>33</v>
      </c>
      <c r="K9" s="101"/>
      <c r="L9" s="104" t="s">
        <v>21</v>
      </c>
      <c r="M9" s="103" t="s">
        <v>21</v>
      </c>
      <c r="N9" s="104" t="s">
        <v>91</v>
      </c>
      <c r="O9" s="101"/>
      <c r="P9" s="103" t="s">
        <v>83</v>
      </c>
      <c r="Q9" s="104" t="s">
        <v>34</v>
      </c>
      <c r="R9" s="104" t="s">
        <v>34</v>
      </c>
      <c r="S9" s="101"/>
      <c r="T9" s="93" t="s">
        <v>105</v>
      </c>
      <c r="U9" s="31" t="str">
        <f>"367,5570"</f>
        <v>367,5570</v>
      </c>
      <c r="V9" s="31" t="s">
        <v>85</v>
      </c>
    </row>
    <row r="11" spans="1:22" ht="16">
      <c r="B11" s="37"/>
      <c r="C11" s="37"/>
      <c r="D11" s="37"/>
      <c r="E11" s="37"/>
      <c r="F11" s="43"/>
      <c r="G11" s="37"/>
    </row>
    <row r="12" spans="1:22" ht="16">
      <c r="B12" s="37"/>
      <c r="C12" s="37"/>
      <c r="D12" s="37"/>
      <c r="E12" s="37"/>
      <c r="F12" s="43"/>
      <c r="G12" s="37"/>
    </row>
    <row r="13" spans="1:22" ht="16">
      <c r="B13" s="37"/>
      <c r="C13" s="37"/>
      <c r="D13" s="37"/>
      <c r="E13" s="37"/>
      <c r="F13" s="43"/>
      <c r="G13" s="37"/>
    </row>
    <row r="14" spans="1:22" ht="16">
      <c r="B14" s="37"/>
      <c r="C14" s="37"/>
      <c r="D14" s="37"/>
      <c r="E14" s="37"/>
      <c r="F14" s="43"/>
      <c r="G14" s="37"/>
    </row>
    <row r="15" spans="1:22" ht="16">
      <c r="B15" s="37"/>
      <c r="C15" s="37"/>
      <c r="D15" s="37"/>
      <c r="E15" s="37"/>
      <c r="F15" s="43"/>
      <c r="G15" s="37"/>
    </row>
    <row r="16" spans="1:22" ht="16">
      <c r="B16" s="37"/>
      <c r="C16" s="37"/>
      <c r="D16" s="37"/>
      <c r="E16" s="37"/>
      <c r="F16" s="43"/>
      <c r="G16" s="37"/>
    </row>
    <row r="17" spans="2:7" ht="16">
      <c r="B17" s="37"/>
      <c r="C17" s="37"/>
      <c r="D17" s="37"/>
      <c r="E17" s="37"/>
      <c r="F17" s="43"/>
      <c r="G17" s="37"/>
    </row>
    <row r="18" spans="2:7">
      <c r="B18" s="37"/>
      <c r="C18" s="37"/>
      <c r="D18" s="37"/>
      <c r="E18" s="37"/>
      <c r="F18" s="37"/>
      <c r="G18" s="37"/>
    </row>
    <row r="19" spans="2:7" ht="18">
      <c r="B19" s="44"/>
      <c r="C19" s="44"/>
      <c r="D19" s="37"/>
      <c r="E19" s="37"/>
      <c r="F19" s="37"/>
      <c r="G19" s="37"/>
    </row>
    <row r="20" spans="2:7" ht="16">
      <c r="B20" s="45"/>
      <c r="C20" s="45"/>
      <c r="D20" s="37"/>
      <c r="E20" s="37"/>
      <c r="F20" s="37"/>
      <c r="G20" s="37"/>
    </row>
    <row r="21" spans="2:7" ht="14">
      <c r="B21" s="46"/>
      <c r="C21" s="47"/>
      <c r="D21" s="37"/>
      <c r="E21" s="37"/>
      <c r="F21" s="37"/>
      <c r="G21" s="37"/>
    </row>
    <row r="22" spans="2:7" ht="14">
      <c r="B22" s="48"/>
      <c r="C22" s="48"/>
      <c r="D22" s="48"/>
      <c r="E22" s="48"/>
      <c r="F22" s="48"/>
      <c r="G22" s="37"/>
    </row>
    <row r="23" spans="2:7">
      <c r="B23" s="49"/>
      <c r="C23" s="37"/>
      <c r="D23" s="37"/>
      <c r="E23" s="37"/>
      <c r="F23" s="50"/>
      <c r="G23" s="37"/>
    </row>
    <row r="24" spans="2:7">
      <c r="B24" s="37"/>
      <c r="C24" s="37"/>
      <c r="D24" s="37"/>
      <c r="E24" s="37"/>
      <c r="F24" s="37"/>
      <c r="G24" s="37"/>
    </row>
    <row r="25" spans="2:7">
      <c r="B25" s="37"/>
      <c r="C25" s="37"/>
      <c r="D25" s="37"/>
      <c r="E25" s="37"/>
      <c r="F25" s="37"/>
      <c r="G25" s="37"/>
    </row>
    <row r="26" spans="2:7" ht="16">
      <c r="B26" s="45"/>
      <c r="C26" s="45"/>
      <c r="D26" s="37"/>
      <c r="E26" s="37"/>
      <c r="F26" s="37"/>
      <c r="G26" s="37"/>
    </row>
    <row r="27" spans="2:7" ht="14">
      <c r="B27" s="46"/>
      <c r="C27" s="47"/>
      <c r="D27" s="37"/>
      <c r="E27" s="37"/>
      <c r="F27" s="37"/>
      <c r="G27" s="37"/>
    </row>
    <row r="28" spans="2:7" ht="14">
      <c r="B28" s="48"/>
      <c r="C28" s="48"/>
      <c r="D28" s="48"/>
      <c r="E28" s="48"/>
      <c r="F28" s="48"/>
      <c r="G28" s="37"/>
    </row>
    <row r="29" spans="2:7">
      <c r="B29" s="49"/>
      <c r="C29" s="37"/>
      <c r="D29" s="37"/>
      <c r="E29" s="37"/>
      <c r="F29" s="50"/>
      <c r="G29" s="37"/>
    </row>
    <row r="30" spans="2:7">
      <c r="B30" s="37"/>
      <c r="C30" s="37"/>
      <c r="D30" s="37"/>
      <c r="E30" s="37"/>
      <c r="F30" s="37"/>
      <c r="G30" s="37"/>
    </row>
    <row r="31" spans="2:7">
      <c r="B31" s="37"/>
      <c r="C31" s="37"/>
      <c r="D31" s="37"/>
      <c r="E31" s="37"/>
      <c r="F31" s="37"/>
      <c r="G31" s="37"/>
    </row>
    <row r="32" spans="2:7">
      <c r="B32" s="37"/>
      <c r="C32" s="37"/>
      <c r="D32" s="37"/>
      <c r="E32" s="37"/>
      <c r="F32" s="37"/>
      <c r="G32" s="37"/>
    </row>
    <row r="33" spans="2:7">
      <c r="B33" s="37"/>
      <c r="C33" s="37"/>
      <c r="D33" s="37"/>
      <c r="E33" s="37"/>
      <c r="F33" s="37"/>
      <c r="G33" s="37"/>
    </row>
    <row r="34" spans="2:7">
      <c r="B34" s="37"/>
      <c r="C34" s="37"/>
      <c r="D34" s="37"/>
      <c r="E34" s="37"/>
      <c r="F34" s="37"/>
      <c r="G34" s="37"/>
    </row>
    <row r="35" spans="2:7">
      <c r="B35" s="37"/>
      <c r="C35" s="37"/>
      <c r="D35" s="37"/>
      <c r="E35" s="37"/>
      <c r="F35" s="37"/>
      <c r="G35" s="37"/>
    </row>
    <row r="36" spans="2:7">
      <c r="B36" s="37"/>
      <c r="C36" s="37"/>
      <c r="D36" s="37"/>
      <c r="E36" s="37"/>
      <c r="F36" s="37"/>
      <c r="G36" s="37"/>
    </row>
    <row r="37" spans="2:7">
      <c r="B37" s="37"/>
      <c r="C37" s="37"/>
      <c r="D37" s="37"/>
      <c r="E37" s="37"/>
      <c r="F37" s="37"/>
      <c r="G37" s="37"/>
    </row>
    <row r="38" spans="2:7">
      <c r="B38" s="37"/>
      <c r="C38" s="37"/>
      <c r="D38" s="37"/>
      <c r="E38" s="37"/>
      <c r="F38" s="37"/>
      <c r="G38" s="37"/>
    </row>
    <row r="39" spans="2:7">
      <c r="B39" s="37"/>
      <c r="C39" s="37"/>
      <c r="D39" s="37"/>
      <c r="E39" s="37"/>
      <c r="F39" s="37"/>
      <c r="G39" s="37"/>
    </row>
    <row r="40" spans="2:7">
      <c r="B40" s="37"/>
      <c r="C40" s="37"/>
      <c r="D40" s="37"/>
      <c r="E40" s="37"/>
      <c r="F40" s="37"/>
      <c r="G40" s="37"/>
    </row>
    <row r="41" spans="2:7">
      <c r="B41" s="37"/>
      <c r="C41" s="37"/>
      <c r="D41" s="37"/>
      <c r="E41" s="37"/>
      <c r="F41" s="37"/>
      <c r="G41" s="37"/>
    </row>
  </sheetData>
  <mergeCells count="16">
    <mergeCell ref="A1:V2"/>
    <mergeCell ref="B5:U5"/>
    <mergeCell ref="B8:U8"/>
    <mergeCell ref="A3:A4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T3:T4"/>
    <mergeCell ref="U3:U4"/>
    <mergeCell ref="V3:V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A9" sqref="A9"/>
    </sheetView>
  </sheetViews>
  <sheetFormatPr baseColWidth="10" defaultColWidth="8.7109375" defaultRowHeight="13" x14ac:dyDescent="0"/>
  <cols>
    <col min="2" max="2" width="26" style="22" bestFit="1" customWidth="1"/>
    <col min="3" max="3" width="27.85546875" style="22" bestFit="1" customWidth="1"/>
    <col min="4" max="4" width="14.140625" style="22" customWidth="1"/>
    <col min="5" max="5" width="8.42578125" style="22" bestFit="1" customWidth="1"/>
    <col min="6" max="6" width="22.7109375" style="22" bestFit="1" customWidth="1"/>
    <col min="7" max="7" width="26.85546875" style="22" bestFit="1" customWidth="1"/>
    <col min="8" max="10" width="5.5703125" style="102" bestFit="1" customWidth="1"/>
    <col min="11" max="11" width="4.5703125" style="102" bestFit="1" customWidth="1"/>
    <col min="12" max="12" width="7.85546875" style="102" bestFit="1" customWidth="1"/>
    <col min="13" max="13" width="7.5703125" style="102" bestFit="1" customWidth="1"/>
    <col min="14" max="14" width="15.42578125" style="22" bestFit="1" customWidth="1"/>
  </cols>
  <sheetData>
    <row r="1" spans="1:14" s="1" customFormat="1" ht="15" customHeight="1">
      <c r="A1" s="183" t="s">
        <v>586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112.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1</v>
      </c>
      <c r="I3" s="181"/>
      <c r="J3" s="181"/>
      <c r="K3" s="181"/>
      <c r="L3" s="181" t="s">
        <v>4</v>
      </c>
      <c r="M3" s="181" t="s">
        <v>6</v>
      </c>
      <c r="N3" s="193" t="s">
        <v>5</v>
      </c>
    </row>
    <row r="4" spans="1:14" s="2" customFormat="1" ht="21" customHeight="1" thickBot="1">
      <c r="A4" s="192"/>
      <c r="B4" s="189"/>
      <c r="C4" s="190"/>
      <c r="D4" s="190"/>
      <c r="E4" s="182"/>
      <c r="F4" s="182"/>
      <c r="G4" s="182"/>
      <c r="H4" s="6">
        <v>1</v>
      </c>
      <c r="I4" s="6">
        <v>2</v>
      </c>
      <c r="J4" s="6">
        <v>3</v>
      </c>
      <c r="K4" s="6" t="s">
        <v>8</v>
      </c>
      <c r="L4" s="182"/>
      <c r="M4" s="182"/>
      <c r="N4" s="194"/>
    </row>
    <row r="5" spans="1:14" ht="16">
      <c r="B5" s="187" t="s">
        <v>10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82">
        <v>1</v>
      </c>
      <c r="B6" s="31" t="s">
        <v>294</v>
      </c>
      <c r="C6" s="31" t="s">
        <v>295</v>
      </c>
      <c r="D6" s="31" t="s">
        <v>375</v>
      </c>
      <c r="E6" s="31" t="str">
        <f>"1,2106"</f>
        <v>1,2106</v>
      </c>
      <c r="F6" s="31" t="s">
        <v>90</v>
      </c>
      <c r="G6" s="31" t="s">
        <v>24</v>
      </c>
      <c r="H6" s="103" t="s">
        <v>25</v>
      </c>
      <c r="I6" s="104" t="s">
        <v>26</v>
      </c>
      <c r="J6" s="104" t="s">
        <v>26</v>
      </c>
      <c r="K6" s="101"/>
      <c r="L6" s="93" t="s">
        <v>25</v>
      </c>
      <c r="M6" s="93" t="str">
        <f>"96,8480"</f>
        <v>96,8480</v>
      </c>
      <c r="N6" s="31" t="s">
        <v>296</v>
      </c>
    </row>
    <row r="8" spans="1:14" ht="16">
      <c r="B8" s="178" t="s">
        <v>142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</row>
    <row r="9" spans="1:14">
      <c r="A9" s="164" t="s">
        <v>587</v>
      </c>
      <c r="B9" s="31" t="s">
        <v>297</v>
      </c>
      <c r="C9" s="31" t="s">
        <v>298</v>
      </c>
      <c r="D9" s="31" t="s">
        <v>376</v>
      </c>
      <c r="E9" s="31" t="str">
        <f>"0,8889"</f>
        <v>0,8889</v>
      </c>
      <c r="F9" s="31" t="s">
        <v>13</v>
      </c>
      <c r="G9" s="31" t="s">
        <v>163</v>
      </c>
      <c r="H9" s="104" t="s">
        <v>48</v>
      </c>
      <c r="I9" s="104" t="s">
        <v>48</v>
      </c>
      <c r="J9" s="104" t="s">
        <v>48</v>
      </c>
      <c r="K9" s="101"/>
      <c r="L9" s="93">
        <v>0</v>
      </c>
      <c r="M9" s="93" t="str">
        <f>"0,0000"</f>
        <v>0,0000</v>
      </c>
      <c r="N9" s="31" t="s">
        <v>134</v>
      </c>
    </row>
    <row r="11" spans="1:14" ht="16">
      <c r="B11" s="37"/>
      <c r="C11" s="37"/>
      <c r="D11" s="37"/>
      <c r="E11" s="37"/>
      <c r="F11" s="43"/>
    </row>
    <row r="12" spans="1:14" ht="16">
      <c r="B12" s="37"/>
      <c r="C12" s="37"/>
      <c r="D12" s="37"/>
      <c r="E12" s="37"/>
      <c r="F12" s="43"/>
    </row>
    <row r="13" spans="1:14" ht="16">
      <c r="B13" s="37"/>
      <c r="C13" s="37"/>
      <c r="D13" s="37"/>
      <c r="E13" s="37"/>
      <c r="F13" s="43"/>
    </row>
    <row r="14" spans="1:14" ht="16">
      <c r="B14" s="37"/>
      <c r="C14" s="37"/>
      <c r="D14" s="37"/>
      <c r="E14" s="37"/>
      <c r="F14" s="43"/>
    </row>
    <row r="15" spans="1:14" ht="16">
      <c r="B15" s="37"/>
      <c r="C15" s="37"/>
      <c r="D15" s="37"/>
      <c r="E15" s="37"/>
      <c r="F15" s="43"/>
    </row>
    <row r="16" spans="1:14" ht="16">
      <c r="B16" s="37"/>
      <c r="C16" s="37"/>
      <c r="D16" s="37"/>
      <c r="E16" s="37"/>
      <c r="F16" s="43"/>
    </row>
    <row r="17" spans="2:6" ht="16">
      <c r="B17" s="37"/>
      <c r="C17" s="37"/>
      <c r="D17" s="37"/>
      <c r="E17" s="37"/>
      <c r="F17" s="43"/>
    </row>
    <row r="18" spans="2:6">
      <c r="B18" s="37"/>
      <c r="C18" s="37"/>
      <c r="D18" s="37"/>
      <c r="E18" s="37"/>
      <c r="F18" s="37"/>
    </row>
    <row r="19" spans="2:6" ht="18">
      <c r="B19" s="44"/>
      <c r="C19" s="44"/>
      <c r="D19" s="37"/>
      <c r="E19" s="37"/>
      <c r="F19" s="37"/>
    </row>
    <row r="20" spans="2:6" ht="16">
      <c r="B20" s="45"/>
      <c r="C20" s="45"/>
      <c r="D20" s="37"/>
      <c r="E20" s="37"/>
      <c r="F20" s="37"/>
    </row>
    <row r="21" spans="2:6" ht="14">
      <c r="B21" s="46"/>
      <c r="C21" s="47"/>
      <c r="D21" s="37"/>
      <c r="E21" s="37"/>
      <c r="F21" s="37"/>
    </row>
    <row r="22" spans="2:6" ht="14">
      <c r="B22" s="48"/>
      <c r="C22" s="48"/>
      <c r="D22" s="48"/>
      <c r="E22" s="48"/>
      <c r="F22" s="48"/>
    </row>
    <row r="23" spans="2:6">
      <c r="B23" s="49"/>
      <c r="C23" s="37"/>
      <c r="D23" s="37"/>
      <c r="E23" s="37"/>
      <c r="F23" s="50"/>
    </row>
    <row r="24" spans="2:6">
      <c r="B24" s="37"/>
      <c r="C24" s="37"/>
      <c r="D24" s="37"/>
      <c r="E24" s="37"/>
      <c r="F24" s="37"/>
    </row>
    <row r="25" spans="2:6">
      <c r="B25" s="37"/>
      <c r="C25" s="37"/>
      <c r="D25" s="37"/>
      <c r="E25" s="37"/>
      <c r="F25" s="37"/>
    </row>
    <row r="26" spans="2:6">
      <c r="B26" s="37"/>
      <c r="C26" s="37"/>
      <c r="D26" s="37"/>
      <c r="E26" s="37"/>
      <c r="F26" s="37"/>
    </row>
    <row r="27" spans="2:6">
      <c r="B27" s="37"/>
      <c r="C27" s="37"/>
      <c r="D27" s="37"/>
      <c r="E27" s="37"/>
      <c r="F27" s="37"/>
    </row>
    <row r="28" spans="2:6">
      <c r="B28" s="37"/>
      <c r="C28" s="37"/>
      <c r="D28" s="37"/>
      <c r="E28" s="37"/>
      <c r="F28" s="37"/>
    </row>
    <row r="29" spans="2:6">
      <c r="B29" s="37"/>
      <c r="C29" s="37"/>
      <c r="D29" s="37"/>
      <c r="E29" s="37"/>
      <c r="F29" s="37"/>
    </row>
  </sheetData>
  <mergeCells count="14">
    <mergeCell ref="A1:N2"/>
    <mergeCell ref="B5:M5"/>
    <mergeCell ref="B8:M8"/>
    <mergeCell ref="A3:A4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3" workbookViewId="0">
      <selection sqref="A1:N2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8.5703125" style="22" bestFit="1" customWidth="1"/>
    <col min="4" max="4" width="10.5703125" style="22" bestFit="1" customWidth="1"/>
    <col min="5" max="5" width="8.42578125" style="22" bestFit="1" customWidth="1"/>
    <col min="6" max="6" width="22.7109375" style="22" bestFit="1" customWidth="1"/>
    <col min="7" max="7" width="32.7109375" style="22" bestFit="1" customWidth="1"/>
    <col min="8" max="10" width="5.5703125" style="102" bestFit="1" customWidth="1"/>
    <col min="11" max="11" width="4.5703125" style="102" bestFit="1" customWidth="1"/>
    <col min="12" max="12" width="7.85546875" style="102" bestFit="1" customWidth="1"/>
    <col min="13" max="13" width="8.5703125" style="102" bestFit="1" customWidth="1"/>
    <col min="14" max="14" width="17.5703125" style="22" bestFit="1" customWidth="1"/>
  </cols>
  <sheetData>
    <row r="1" spans="1:14" s="1" customFormat="1" ht="15" customHeight="1">
      <c r="A1" s="183" t="s">
        <v>590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111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2</v>
      </c>
      <c r="I3" s="181"/>
      <c r="J3" s="181"/>
      <c r="K3" s="181"/>
      <c r="L3" s="181" t="s">
        <v>4</v>
      </c>
      <c r="M3" s="181" t="s">
        <v>6</v>
      </c>
      <c r="N3" s="193" t="s">
        <v>5</v>
      </c>
    </row>
    <row r="4" spans="1:14" s="2" customFormat="1" ht="21" customHeight="1" thickBot="1">
      <c r="A4" s="192"/>
      <c r="B4" s="189"/>
      <c r="C4" s="190"/>
      <c r="D4" s="190"/>
      <c r="E4" s="182"/>
      <c r="F4" s="182"/>
      <c r="G4" s="182"/>
      <c r="H4" s="6">
        <v>1</v>
      </c>
      <c r="I4" s="6">
        <v>2</v>
      </c>
      <c r="J4" s="6">
        <v>3</v>
      </c>
      <c r="K4" s="6" t="s">
        <v>8</v>
      </c>
      <c r="L4" s="182"/>
      <c r="M4" s="182"/>
      <c r="N4" s="194"/>
    </row>
    <row r="5" spans="1:14" ht="16">
      <c r="B5" s="187" t="s">
        <v>10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97">
        <v>1</v>
      </c>
      <c r="B6" s="29" t="s">
        <v>245</v>
      </c>
      <c r="C6" s="29" t="s">
        <v>246</v>
      </c>
      <c r="D6" s="29" t="s">
        <v>377</v>
      </c>
      <c r="E6" s="29" t="str">
        <f>"1,2356"</f>
        <v>1,2356</v>
      </c>
      <c r="F6" s="29" t="s">
        <v>247</v>
      </c>
      <c r="G6" s="29" t="s">
        <v>24</v>
      </c>
      <c r="H6" s="108" t="s">
        <v>131</v>
      </c>
      <c r="I6" s="108" t="s">
        <v>17</v>
      </c>
      <c r="J6" s="109" t="s">
        <v>18</v>
      </c>
      <c r="K6" s="105"/>
      <c r="L6" s="90">
        <v>47.5</v>
      </c>
      <c r="M6" s="90" t="str">
        <f>"58,6910"</f>
        <v>58,6910</v>
      </c>
      <c r="N6" s="29" t="s">
        <v>397</v>
      </c>
    </row>
    <row r="7" spans="1:14">
      <c r="A7" s="82" t="s">
        <v>587</v>
      </c>
      <c r="B7" s="30" t="s">
        <v>248</v>
      </c>
      <c r="C7" s="30" t="s">
        <v>249</v>
      </c>
      <c r="D7" s="30" t="s">
        <v>378</v>
      </c>
      <c r="E7" s="30" t="str">
        <f>"1,2230"</f>
        <v>1,2230</v>
      </c>
      <c r="F7" s="30" t="s">
        <v>13</v>
      </c>
      <c r="G7" s="30" t="s">
        <v>24</v>
      </c>
      <c r="H7" s="110" t="s">
        <v>17</v>
      </c>
      <c r="I7" s="110" t="s">
        <v>17</v>
      </c>
      <c r="J7" s="110" t="s">
        <v>17</v>
      </c>
      <c r="K7" s="106"/>
      <c r="L7" s="92">
        <v>0</v>
      </c>
      <c r="M7" s="92" t="str">
        <f>"0,0000"</f>
        <v>0,0000</v>
      </c>
      <c r="N7" s="30" t="s">
        <v>397</v>
      </c>
    </row>
    <row r="9" spans="1:14" ht="16">
      <c r="B9" s="178" t="s">
        <v>142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4">
      <c r="A10" s="82">
        <v>1</v>
      </c>
      <c r="B10" s="29" t="s">
        <v>250</v>
      </c>
      <c r="C10" s="29" t="s">
        <v>251</v>
      </c>
      <c r="D10" s="29" t="s">
        <v>357</v>
      </c>
      <c r="E10" s="29" t="str">
        <f>"0,8731"</f>
        <v>0,8731</v>
      </c>
      <c r="F10" s="29" t="s">
        <v>13</v>
      </c>
      <c r="G10" s="29" t="s">
        <v>24</v>
      </c>
      <c r="H10" s="109" t="s">
        <v>151</v>
      </c>
      <c r="I10" s="108" t="s">
        <v>133</v>
      </c>
      <c r="J10" s="108" t="s">
        <v>36</v>
      </c>
      <c r="K10" s="105"/>
      <c r="L10" s="90">
        <v>102.5</v>
      </c>
      <c r="M10" s="90" t="str">
        <f>"89,4927"</f>
        <v>89,4927</v>
      </c>
      <c r="N10" s="29" t="s">
        <v>134</v>
      </c>
    </row>
    <row r="11" spans="1:14">
      <c r="A11" s="82">
        <v>1</v>
      </c>
      <c r="B11" s="30" t="s">
        <v>252</v>
      </c>
      <c r="C11" s="30" t="s">
        <v>253</v>
      </c>
      <c r="D11" s="30" t="s">
        <v>27</v>
      </c>
      <c r="E11" s="30" t="str">
        <f>"0,8529"</f>
        <v>0,8529</v>
      </c>
      <c r="F11" s="30" t="s">
        <v>13</v>
      </c>
      <c r="G11" s="30" t="s">
        <v>393</v>
      </c>
      <c r="H11" s="111" t="s">
        <v>133</v>
      </c>
      <c r="I11" s="111" t="s">
        <v>15</v>
      </c>
      <c r="J11" s="110" t="s">
        <v>37</v>
      </c>
      <c r="K11" s="106"/>
      <c r="L11" s="92">
        <v>107.5</v>
      </c>
      <c r="M11" s="92" t="str">
        <f>"91,6868"</f>
        <v>91,6868</v>
      </c>
      <c r="N11" s="31" t="s">
        <v>134</v>
      </c>
    </row>
    <row r="13" spans="1:14" ht="16">
      <c r="B13" s="178" t="s">
        <v>93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1:14">
      <c r="A14" s="82">
        <v>1</v>
      </c>
      <c r="B14" s="31" t="s">
        <v>254</v>
      </c>
      <c r="C14" s="31" t="s">
        <v>255</v>
      </c>
      <c r="D14" s="31" t="s">
        <v>145</v>
      </c>
      <c r="E14" s="31" t="str">
        <f>"0,7710"</f>
        <v>0,7710</v>
      </c>
      <c r="F14" s="31" t="s">
        <v>13</v>
      </c>
      <c r="G14" s="31" t="s">
        <v>393</v>
      </c>
      <c r="H14" s="103" t="s">
        <v>26</v>
      </c>
      <c r="I14" s="103" t="s">
        <v>151</v>
      </c>
      <c r="J14" s="104" t="s">
        <v>133</v>
      </c>
      <c r="K14" s="101"/>
      <c r="L14" s="93" t="s">
        <v>151</v>
      </c>
      <c r="M14" s="93" t="str">
        <f>"73,2450"</f>
        <v>73,2450</v>
      </c>
      <c r="N14" s="31" t="s">
        <v>396</v>
      </c>
    </row>
    <row r="16" spans="1:14" ht="16">
      <c r="B16" s="178" t="s">
        <v>29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</row>
    <row r="17" spans="1:14">
      <c r="A17" s="97">
        <v>1</v>
      </c>
      <c r="B17" s="29" t="s">
        <v>256</v>
      </c>
      <c r="C17" s="29" t="s">
        <v>257</v>
      </c>
      <c r="D17" s="29" t="s">
        <v>379</v>
      </c>
      <c r="E17" s="29" t="str">
        <f>"0,7159"</f>
        <v>0,7159</v>
      </c>
      <c r="F17" s="29" t="s">
        <v>13</v>
      </c>
      <c r="G17" s="29" t="s">
        <v>24</v>
      </c>
      <c r="H17" s="108" t="s">
        <v>19</v>
      </c>
      <c r="I17" s="109" t="s">
        <v>96</v>
      </c>
      <c r="J17" s="109" t="s">
        <v>96</v>
      </c>
      <c r="K17" s="105"/>
      <c r="L17" s="90" t="s">
        <v>19</v>
      </c>
      <c r="M17" s="90" t="str">
        <f>"78,7490"</f>
        <v>78,7490</v>
      </c>
      <c r="N17" s="29" t="s">
        <v>134</v>
      </c>
    </row>
    <row r="18" spans="1:14">
      <c r="A18" s="82">
        <v>1</v>
      </c>
      <c r="B18" s="41" t="s">
        <v>258</v>
      </c>
      <c r="C18" s="41" t="s">
        <v>259</v>
      </c>
      <c r="D18" s="41" t="s">
        <v>380</v>
      </c>
      <c r="E18" s="41" t="str">
        <f>"0,7152"</f>
        <v>0,7152</v>
      </c>
      <c r="F18" s="41" t="s">
        <v>13</v>
      </c>
      <c r="G18" s="41" t="s">
        <v>24</v>
      </c>
      <c r="H18" s="112" t="s">
        <v>96</v>
      </c>
      <c r="I18" s="113" t="s">
        <v>20</v>
      </c>
      <c r="J18" s="113" t="s">
        <v>260</v>
      </c>
      <c r="K18" s="107"/>
      <c r="L18" s="91">
        <v>127.5</v>
      </c>
      <c r="M18" s="91" t="str">
        <f>"91,1880"</f>
        <v>91,1880</v>
      </c>
      <c r="N18" s="41" t="s">
        <v>134</v>
      </c>
    </row>
    <row r="19" spans="1:14">
      <c r="A19" s="82">
        <v>2</v>
      </c>
      <c r="B19" s="41" t="s">
        <v>261</v>
      </c>
      <c r="C19" s="41" t="s">
        <v>262</v>
      </c>
      <c r="D19" s="41" t="s">
        <v>381</v>
      </c>
      <c r="E19" s="41" t="str">
        <f>"0,7352"</f>
        <v>0,7352</v>
      </c>
      <c r="F19" s="41" t="s">
        <v>13</v>
      </c>
      <c r="G19" s="41" t="s">
        <v>24</v>
      </c>
      <c r="H19" s="113" t="s">
        <v>19</v>
      </c>
      <c r="I19" s="112" t="s">
        <v>20</v>
      </c>
      <c r="J19" s="112" t="s">
        <v>20</v>
      </c>
      <c r="K19" s="107"/>
      <c r="L19" s="91" t="s">
        <v>19</v>
      </c>
      <c r="M19" s="91" t="str">
        <f>"80,8720"</f>
        <v>80,8720</v>
      </c>
      <c r="N19" s="41" t="s">
        <v>395</v>
      </c>
    </row>
    <row r="20" spans="1:14">
      <c r="A20" s="98">
        <v>3</v>
      </c>
      <c r="B20" s="41" t="s">
        <v>263</v>
      </c>
      <c r="C20" s="41" t="s">
        <v>264</v>
      </c>
      <c r="D20" s="41" t="s">
        <v>382</v>
      </c>
      <c r="E20" s="41" t="str">
        <f>"0,7132"</f>
        <v>0,7132</v>
      </c>
      <c r="F20" s="41" t="s">
        <v>13</v>
      </c>
      <c r="G20" s="41" t="s">
        <v>24</v>
      </c>
      <c r="H20" s="113" t="s">
        <v>15</v>
      </c>
      <c r="I20" s="112" t="s">
        <v>37</v>
      </c>
      <c r="J20" s="112" t="s">
        <v>37</v>
      </c>
      <c r="K20" s="107"/>
      <c r="L20" s="91">
        <v>107.5</v>
      </c>
      <c r="M20" s="91" t="str">
        <f>"76,6690"</f>
        <v>76,6690</v>
      </c>
      <c r="N20" s="41" t="s">
        <v>134</v>
      </c>
    </row>
    <row r="21" spans="1:14">
      <c r="A21" s="82">
        <v>4</v>
      </c>
      <c r="B21" s="30" t="s">
        <v>265</v>
      </c>
      <c r="C21" s="30" t="s">
        <v>266</v>
      </c>
      <c r="D21" s="30" t="s">
        <v>146</v>
      </c>
      <c r="E21" s="30" t="str">
        <f>"0,7300"</f>
        <v>0,7300</v>
      </c>
      <c r="F21" s="30" t="s">
        <v>13</v>
      </c>
      <c r="G21" s="30" t="s">
        <v>24</v>
      </c>
      <c r="H21" s="110" t="s">
        <v>151</v>
      </c>
      <c r="I21" s="110" t="s">
        <v>151</v>
      </c>
      <c r="J21" s="110" t="s">
        <v>151</v>
      </c>
      <c r="K21" s="106"/>
      <c r="L21" s="92">
        <v>0</v>
      </c>
      <c r="M21" s="92" t="str">
        <f>"0,0000"</f>
        <v>0,0000</v>
      </c>
      <c r="N21" s="30" t="s">
        <v>134</v>
      </c>
    </row>
    <row r="23" spans="1:14" ht="16">
      <c r="B23" s="178" t="s">
        <v>165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</row>
    <row r="24" spans="1:14">
      <c r="A24" s="97">
        <v>1</v>
      </c>
      <c r="B24" s="29" t="s">
        <v>267</v>
      </c>
      <c r="C24" s="29" t="s">
        <v>268</v>
      </c>
      <c r="D24" s="29" t="s">
        <v>383</v>
      </c>
      <c r="E24" s="29" t="str">
        <f>"0,6719"</f>
        <v>0,6719</v>
      </c>
      <c r="F24" s="29" t="s">
        <v>13</v>
      </c>
      <c r="G24" s="29" t="s">
        <v>24</v>
      </c>
      <c r="H24" s="108" t="s">
        <v>49</v>
      </c>
      <c r="I24" s="108" t="s">
        <v>56</v>
      </c>
      <c r="J24" s="109" t="s">
        <v>82</v>
      </c>
      <c r="K24" s="105"/>
      <c r="L24" s="90" t="s">
        <v>56</v>
      </c>
      <c r="M24" s="90" t="str">
        <f>"107,5040"</f>
        <v>107,5040</v>
      </c>
      <c r="N24" s="29" t="s">
        <v>134</v>
      </c>
    </row>
    <row r="25" spans="1:14">
      <c r="A25" s="82">
        <v>2</v>
      </c>
      <c r="B25" s="41" t="s">
        <v>269</v>
      </c>
      <c r="C25" s="41" t="s">
        <v>270</v>
      </c>
      <c r="D25" s="41" t="s">
        <v>384</v>
      </c>
      <c r="E25" s="41" t="str">
        <f>"0,6699"</f>
        <v>0,6699</v>
      </c>
      <c r="F25" s="41" t="s">
        <v>13</v>
      </c>
      <c r="G25" s="41" t="s">
        <v>24</v>
      </c>
      <c r="H25" s="113" t="s">
        <v>48</v>
      </c>
      <c r="I25" s="113" t="s">
        <v>271</v>
      </c>
      <c r="J25" s="113" t="s">
        <v>215</v>
      </c>
      <c r="K25" s="107"/>
      <c r="L25" s="91">
        <v>152.5</v>
      </c>
      <c r="M25" s="91" t="str">
        <f>"102,1598"</f>
        <v>102,1598</v>
      </c>
      <c r="N25" s="29" t="s">
        <v>134</v>
      </c>
    </row>
    <row r="26" spans="1:14">
      <c r="A26" s="97">
        <v>3</v>
      </c>
      <c r="B26" s="41" t="s">
        <v>272</v>
      </c>
      <c r="C26" s="41" t="s">
        <v>273</v>
      </c>
      <c r="D26" s="41" t="s">
        <v>385</v>
      </c>
      <c r="E26" s="41" t="str">
        <f>"0,6910"</f>
        <v>0,6910</v>
      </c>
      <c r="F26" s="41" t="s">
        <v>13</v>
      </c>
      <c r="G26" s="41" t="s">
        <v>24</v>
      </c>
      <c r="H26" s="113" t="s">
        <v>48</v>
      </c>
      <c r="I26" s="113" t="s">
        <v>66</v>
      </c>
      <c r="J26" s="113" t="s">
        <v>49</v>
      </c>
      <c r="K26" s="107"/>
      <c r="L26" s="91" t="s">
        <v>49</v>
      </c>
      <c r="M26" s="91" t="str">
        <f>"103,6500"</f>
        <v>103,6500</v>
      </c>
      <c r="N26" s="29" t="s">
        <v>134</v>
      </c>
    </row>
    <row r="27" spans="1:14">
      <c r="A27" s="82">
        <v>4</v>
      </c>
      <c r="B27" s="41" t="s">
        <v>197</v>
      </c>
      <c r="C27" s="41" t="s">
        <v>198</v>
      </c>
      <c r="D27" s="41" t="s">
        <v>386</v>
      </c>
      <c r="E27" s="41" t="str">
        <f>"0,6999"</f>
        <v>0,6999</v>
      </c>
      <c r="F27" s="41" t="s">
        <v>168</v>
      </c>
      <c r="G27" s="41" t="s">
        <v>24</v>
      </c>
      <c r="H27" s="113" t="s">
        <v>48</v>
      </c>
      <c r="I27" s="113" t="s">
        <v>66</v>
      </c>
      <c r="J27" s="112" t="s">
        <v>49</v>
      </c>
      <c r="K27" s="107"/>
      <c r="L27" s="91" t="s">
        <v>66</v>
      </c>
      <c r="M27" s="91" t="str">
        <f>"101,4855"</f>
        <v>101,4855</v>
      </c>
      <c r="N27" s="29" t="s">
        <v>134</v>
      </c>
    </row>
    <row r="28" spans="1:14">
      <c r="A28" s="82">
        <v>5</v>
      </c>
      <c r="B28" s="30" t="s">
        <v>274</v>
      </c>
      <c r="C28" s="30" t="s">
        <v>275</v>
      </c>
      <c r="D28" s="30" t="s">
        <v>387</v>
      </c>
      <c r="E28" s="30" t="str">
        <f>"0,6769"</f>
        <v>0,6769</v>
      </c>
      <c r="F28" s="30" t="s">
        <v>168</v>
      </c>
      <c r="G28" s="30" t="s">
        <v>24</v>
      </c>
      <c r="H28" s="111" t="s">
        <v>276</v>
      </c>
      <c r="I28" s="110" t="s">
        <v>192</v>
      </c>
      <c r="J28" s="110" t="s">
        <v>66</v>
      </c>
      <c r="K28" s="106"/>
      <c r="L28" s="92">
        <v>137.5</v>
      </c>
      <c r="M28" s="92" t="str">
        <f>"93,0738"</f>
        <v>93,0738</v>
      </c>
      <c r="N28" s="31" t="s">
        <v>134</v>
      </c>
    </row>
    <row r="30" spans="1:14" ht="16">
      <c r="B30" s="178" t="s">
        <v>41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</row>
    <row r="31" spans="1:14">
      <c r="A31" s="97">
        <v>1</v>
      </c>
      <c r="B31" s="29" t="s">
        <v>277</v>
      </c>
      <c r="C31" s="29" t="s">
        <v>278</v>
      </c>
      <c r="D31" s="29" t="s">
        <v>388</v>
      </c>
      <c r="E31" s="29" t="str">
        <f>"0,6417"</f>
        <v>0,6417</v>
      </c>
      <c r="F31" s="29" t="s">
        <v>90</v>
      </c>
      <c r="G31" s="29" t="s">
        <v>24</v>
      </c>
      <c r="H31" s="108" t="s">
        <v>56</v>
      </c>
      <c r="I31" s="108" t="s">
        <v>209</v>
      </c>
      <c r="J31" s="108" t="s">
        <v>60</v>
      </c>
      <c r="K31" s="105"/>
      <c r="L31" s="90" t="s">
        <v>60</v>
      </c>
      <c r="M31" s="90" t="str">
        <f>"109,0890"</f>
        <v>109,0890</v>
      </c>
      <c r="N31" s="29" t="s">
        <v>134</v>
      </c>
    </row>
    <row r="32" spans="1:14">
      <c r="A32" s="98">
        <v>2</v>
      </c>
      <c r="B32" s="41" t="s">
        <v>279</v>
      </c>
      <c r="C32" s="41" t="s">
        <v>280</v>
      </c>
      <c r="D32" s="41" t="s">
        <v>389</v>
      </c>
      <c r="E32" s="41" t="str">
        <f>"0,6495"</f>
        <v>0,6495</v>
      </c>
      <c r="F32" s="41" t="s">
        <v>13</v>
      </c>
      <c r="G32" s="41" t="s">
        <v>24</v>
      </c>
      <c r="H32" s="113" t="s">
        <v>82</v>
      </c>
      <c r="I32" s="112" t="s">
        <v>60</v>
      </c>
      <c r="J32" s="112" t="s">
        <v>60</v>
      </c>
      <c r="K32" s="107"/>
      <c r="L32" s="91" t="s">
        <v>82</v>
      </c>
      <c r="M32" s="91" t="str">
        <f>"107,1675"</f>
        <v>107,1675</v>
      </c>
      <c r="N32" s="41" t="s">
        <v>394</v>
      </c>
    </row>
    <row r="33" spans="1:14">
      <c r="A33" s="98">
        <v>3</v>
      </c>
      <c r="B33" s="41" t="s">
        <v>281</v>
      </c>
      <c r="C33" s="41" t="s">
        <v>282</v>
      </c>
      <c r="D33" s="41" t="s">
        <v>390</v>
      </c>
      <c r="E33" s="41" t="str">
        <f>"0,6467"</f>
        <v>0,6467</v>
      </c>
      <c r="F33" s="41" t="s">
        <v>44</v>
      </c>
      <c r="G33" s="41" t="s">
        <v>24</v>
      </c>
      <c r="H33" s="113" t="s">
        <v>66</v>
      </c>
      <c r="I33" s="113" t="s">
        <v>50</v>
      </c>
      <c r="J33" s="112" t="s">
        <v>208</v>
      </c>
      <c r="K33" s="107"/>
      <c r="L33" s="91" t="s">
        <v>50</v>
      </c>
      <c r="M33" s="91" t="str">
        <f>"100,2385"</f>
        <v>100,2385</v>
      </c>
      <c r="N33" s="41" t="s">
        <v>134</v>
      </c>
    </row>
    <row r="34" spans="1:14">
      <c r="A34" s="82" t="s">
        <v>587</v>
      </c>
      <c r="B34" s="30" t="s">
        <v>283</v>
      </c>
      <c r="C34" s="30" t="s">
        <v>284</v>
      </c>
      <c r="D34" s="30" t="s">
        <v>320</v>
      </c>
      <c r="E34" s="30" t="str">
        <f>"0,6479"</f>
        <v>0,6479</v>
      </c>
      <c r="F34" s="30" t="s">
        <v>13</v>
      </c>
      <c r="G34" s="30" t="s">
        <v>24</v>
      </c>
      <c r="H34" s="111" t="s">
        <v>48</v>
      </c>
      <c r="I34" s="111" t="s">
        <v>66</v>
      </c>
      <c r="J34" s="110" t="s">
        <v>215</v>
      </c>
      <c r="K34" s="106"/>
      <c r="L34" s="92" t="s">
        <v>66</v>
      </c>
      <c r="M34" s="92" t="str">
        <f>"93,9455"</f>
        <v>93,9455</v>
      </c>
      <c r="N34" s="30" t="s">
        <v>134</v>
      </c>
    </row>
    <row r="36" spans="1:14" ht="16">
      <c r="B36" s="178" t="s">
        <v>113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</row>
    <row r="37" spans="1:14">
      <c r="A37" s="97">
        <v>1</v>
      </c>
      <c r="B37" s="29" t="s">
        <v>285</v>
      </c>
      <c r="C37" s="29" t="s">
        <v>286</v>
      </c>
      <c r="D37" s="29" t="s">
        <v>391</v>
      </c>
      <c r="E37" s="29" t="str">
        <f>"0,6226"</f>
        <v>0,6226</v>
      </c>
      <c r="F37" s="29" t="s">
        <v>13</v>
      </c>
      <c r="G37" s="29" t="s">
        <v>24</v>
      </c>
      <c r="H37" s="108" t="s">
        <v>91</v>
      </c>
      <c r="I37" s="109" t="s">
        <v>99</v>
      </c>
      <c r="J37" s="109" t="s">
        <v>99</v>
      </c>
      <c r="K37" s="105"/>
      <c r="L37" s="90" t="s">
        <v>91</v>
      </c>
      <c r="M37" s="90" t="str">
        <f>"80,9380"</f>
        <v>80,9380</v>
      </c>
      <c r="N37" s="29" t="s">
        <v>134</v>
      </c>
    </row>
    <row r="38" spans="1:14">
      <c r="A38" s="99">
        <v>1</v>
      </c>
      <c r="B38" s="30" t="s">
        <v>287</v>
      </c>
      <c r="C38" s="30" t="s">
        <v>288</v>
      </c>
      <c r="D38" s="30" t="s">
        <v>362</v>
      </c>
      <c r="E38" s="30" t="str">
        <f>"0,6144"</f>
        <v>0,6144</v>
      </c>
      <c r="F38" s="30" t="s">
        <v>13</v>
      </c>
      <c r="G38" s="30" t="s">
        <v>24</v>
      </c>
      <c r="H38" s="111" t="s">
        <v>66</v>
      </c>
      <c r="I38" s="110" t="s">
        <v>49</v>
      </c>
      <c r="J38" s="110" t="s">
        <v>50</v>
      </c>
      <c r="K38" s="106"/>
      <c r="L38" s="92" t="s">
        <v>66</v>
      </c>
      <c r="M38" s="92" t="str">
        <f>"89,0880"</f>
        <v>89,0880</v>
      </c>
      <c r="N38" s="30" t="s">
        <v>134</v>
      </c>
    </row>
    <row r="40" spans="1:14" ht="16">
      <c r="B40" s="178" t="s">
        <v>62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</row>
    <row r="41" spans="1:14">
      <c r="A41" s="82">
        <v>1</v>
      </c>
      <c r="B41" s="31" t="s">
        <v>289</v>
      </c>
      <c r="C41" s="31" t="s">
        <v>290</v>
      </c>
      <c r="D41" s="31" t="s">
        <v>392</v>
      </c>
      <c r="E41" s="31" t="str">
        <f>"0,5914"</f>
        <v>0,5914</v>
      </c>
      <c r="F41" s="31" t="s">
        <v>13</v>
      </c>
      <c r="G41" s="31" t="s">
        <v>24</v>
      </c>
      <c r="H41" s="103" t="s">
        <v>48</v>
      </c>
      <c r="I41" s="103" t="s">
        <v>271</v>
      </c>
      <c r="J41" s="104" t="s">
        <v>49</v>
      </c>
      <c r="K41" s="101"/>
      <c r="L41" s="93">
        <v>147.5</v>
      </c>
      <c r="M41" s="93" t="str">
        <f>"87,2315"</f>
        <v>87,2315</v>
      </c>
      <c r="N41" s="31" t="s">
        <v>134</v>
      </c>
    </row>
    <row r="43" spans="1:14" ht="16">
      <c r="F43" s="23"/>
    </row>
    <row r="45" spans="1:14" ht="18">
      <c r="B45" s="24" t="s">
        <v>68</v>
      </c>
      <c r="C45" s="24"/>
    </row>
    <row r="46" spans="1:14" ht="16">
      <c r="B46" s="33" t="s">
        <v>75</v>
      </c>
      <c r="C46" s="33"/>
    </row>
    <row r="47" spans="1:14" ht="14">
      <c r="B47" s="35"/>
      <c r="C47" s="36" t="s">
        <v>69</v>
      </c>
    </row>
    <row r="48" spans="1:14" ht="14">
      <c r="A48" s="82" t="s">
        <v>339</v>
      </c>
      <c r="B48" s="39" t="s">
        <v>70</v>
      </c>
      <c r="C48" s="39" t="s">
        <v>71</v>
      </c>
      <c r="D48" s="39" t="s">
        <v>72</v>
      </c>
      <c r="E48" s="39" t="s">
        <v>73</v>
      </c>
      <c r="F48" s="39" t="s">
        <v>74</v>
      </c>
    </row>
    <row r="49" spans="1:6">
      <c r="A49" s="82">
        <v>1</v>
      </c>
      <c r="B49" s="130" t="s">
        <v>277</v>
      </c>
      <c r="C49" s="31" t="s">
        <v>69</v>
      </c>
      <c r="D49" s="31" t="s">
        <v>76</v>
      </c>
      <c r="E49" s="31" t="s">
        <v>60</v>
      </c>
      <c r="F49" s="68" t="s">
        <v>291</v>
      </c>
    </row>
    <row r="50" spans="1:6">
      <c r="A50" s="82">
        <v>2</v>
      </c>
      <c r="B50" s="130" t="s">
        <v>267</v>
      </c>
      <c r="C50" s="31" t="s">
        <v>69</v>
      </c>
      <c r="D50" s="31" t="s">
        <v>173</v>
      </c>
      <c r="E50" s="31" t="s">
        <v>56</v>
      </c>
      <c r="F50" s="68" t="s">
        <v>292</v>
      </c>
    </row>
    <row r="51" spans="1:6">
      <c r="A51" s="82">
        <v>3</v>
      </c>
      <c r="B51" s="130" t="s">
        <v>279</v>
      </c>
      <c r="C51" s="31" t="s">
        <v>69</v>
      </c>
      <c r="D51" s="31" t="s">
        <v>76</v>
      </c>
      <c r="E51" s="31" t="s">
        <v>82</v>
      </c>
      <c r="F51" s="68" t="s">
        <v>293</v>
      </c>
    </row>
    <row r="52" spans="1:6">
      <c r="B52" s="49"/>
      <c r="C52" s="37"/>
      <c r="D52" s="37"/>
      <c r="E52" s="37"/>
      <c r="F52" s="50"/>
    </row>
    <row r="53" spans="1:6">
      <c r="B53" s="49"/>
      <c r="C53" s="37"/>
      <c r="D53" s="37"/>
      <c r="E53" s="37"/>
      <c r="F53" s="50"/>
    </row>
    <row r="54" spans="1:6">
      <c r="B54" s="49"/>
      <c r="C54" s="37"/>
      <c r="D54" s="37"/>
      <c r="E54" s="37"/>
      <c r="F54" s="50"/>
    </row>
    <row r="55" spans="1:6">
      <c r="B55" s="49"/>
      <c r="C55" s="37"/>
      <c r="D55" s="37"/>
      <c r="E55" s="37"/>
      <c r="F55" s="50"/>
    </row>
    <row r="56" spans="1:6">
      <c r="B56" s="49"/>
      <c r="C56" s="37"/>
      <c r="D56" s="37"/>
      <c r="E56" s="37"/>
      <c r="F56" s="50"/>
    </row>
    <row r="57" spans="1:6">
      <c r="B57" s="49"/>
      <c r="C57" s="37"/>
      <c r="D57" s="37"/>
      <c r="E57" s="37"/>
      <c r="F57" s="50"/>
    </row>
    <row r="58" spans="1:6">
      <c r="B58" s="49"/>
      <c r="C58" s="37"/>
      <c r="D58" s="37"/>
      <c r="E58" s="37"/>
      <c r="F58" s="50"/>
    </row>
    <row r="59" spans="1:6">
      <c r="B59" s="49"/>
      <c r="C59" s="37"/>
      <c r="D59" s="37"/>
      <c r="E59" s="37"/>
      <c r="F59" s="50"/>
    </row>
    <row r="60" spans="1:6">
      <c r="B60" s="49"/>
      <c r="C60" s="37"/>
      <c r="D60" s="37"/>
      <c r="E60" s="37"/>
      <c r="F60" s="50"/>
    </row>
    <row r="61" spans="1:6">
      <c r="B61" s="49"/>
      <c r="C61" s="37"/>
      <c r="D61" s="37"/>
      <c r="E61" s="37"/>
      <c r="F61" s="50"/>
    </row>
    <row r="62" spans="1:6">
      <c r="B62" s="49"/>
      <c r="C62" s="37"/>
      <c r="D62" s="37"/>
      <c r="E62" s="37"/>
      <c r="F62" s="50"/>
    </row>
    <row r="63" spans="1:6">
      <c r="B63" s="49"/>
      <c r="C63" s="37"/>
      <c r="D63" s="37"/>
      <c r="E63" s="37"/>
      <c r="F63" s="50"/>
    </row>
    <row r="64" spans="1:6">
      <c r="B64" s="49"/>
      <c r="C64" s="37"/>
      <c r="D64" s="37"/>
      <c r="E64" s="37"/>
      <c r="F64" s="50"/>
    </row>
    <row r="65" spans="2:6">
      <c r="B65" s="37"/>
      <c r="C65" s="37"/>
      <c r="D65" s="37"/>
      <c r="E65" s="37"/>
      <c r="F65" s="37"/>
    </row>
    <row r="66" spans="2:6" ht="14">
      <c r="B66" s="46"/>
      <c r="C66" s="47"/>
      <c r="D66" s="37"/>
      <c r="E66" s="37"/>
      <c r="F66" s="37"/>
    </row>
    <row r="67" spans="2:6" ht="14">
      <c r="B67" s="48"/>
      <c r="C67" s="48"/>
      <c r="D67" s="48"/>
      <c r="E67" s="48"/>
      <c r="F67" s="48"/>
    </row>
    <row r="68" spans="2:6">
      <c r="B68" s="49"/>
      <c r="C68" s="37"/>
      <c r="D68" s="37"/>
      <c r="E68" s="37"/>
      <c r="F68" s="50"/>
    </row>
    <row r="69" spans="2:6">
      <c r="B69" s="37"/>
      <c r="C69" s="37"/>
      <c r="D69" s="37"/>
      <c r="E69" s="37"/>
      <c r="F69" s="37"/>
    </row>
    <row r="70" spans="2:6">
      <c r="B70" s="37"/>
      <c r="C70" s="37"/>
      <c r="D70" s="37"/>
      <c r="E70" s="37"/>
      <c r="F70" s="37"/>
    </row>
    <row r="71" spans="2:6">
      <c r="B71" s="37"/>
      <c r="C71" s="37"/>
      <c r="D71" s="37"/>
      <c r="E71" s="37"/>
      <c r="F71" s="37"/>
    </row>
    <row r="72" spans="2:6">
      <c r="B72" s="37"/>
      <c r="C72" s="37"/>
      <c r="D72" s="37"/>
      <c r="E72" s="37"/>
      <c r="F72" s="37"/>
    </row>
  </sheetData>
  <mergeCells count="20">
    <mergeCell ref="A1:N2"/>
    <mergeCell ref="A3:A4"/>
    <mergeCell ref="B13:M13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9:M9"/>
    <mergeCell ref="B16:M16"/>
    <mergeCell ref="B23:M23"/>
    <mergeCell ref="B30:M30"/>
    <mergeCell ref="B36:M36"/>
    <mergeCell ref="B40:M4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G38" sqref="G38"/>
    </sheetView>
  </sheetViews>
  <sheetFormatPr baseColWidth="10" defaultColWidth="8.7109375" defaultRowHeight="13" x14ac:dyDescent="0"/>
  <cols>
    <col min="1" max="1" width="8.7109375" style="62"/>
    <col min="2" max="2" width="26" style="22" bestFit="1" customWidth="1"/>
    <col min="3" max="3" width="28.42578125" style="22" bestFit="1" customWidth="1"/>
    <col min="4" max="4" width="15.5703125" style="22" customWidth="1"/>
    <col min="5" max="5" width="8.42578125" style="22" bestFit="1" customWidth="1"/>
    <col min="6" max="6" width="22.7109375" style="22" bestFit="1" customWidth="1"/>
    <col min="7" max="7" width="32" style="22" bestFit="1" customWidth="1"/>
    <col min="8" max="10" width="5.5703125" style="102" bestFit="1" customWidth="1"/>
    <col min="11" max="11" width="4.5703125" style="102" bestFit="1" customWidth="1"/>
    <col min="12" max="12" width="7.85546875" style="102" bestFit="1" customWidth="1"/>
    <col min="13" max="13" width="8.5703125" style="102" bestFit="1" customWidth="1"/>
    <col min="14" max="14" width="28.42578125" style="22" bestFit="1" customWidth="1"/>
  </cols>
  <sheetData>
    <row r="1" spans="1:14" s="1" customFormat="1" ht="15" customHeight="1">
      <c r="A1" s="183" t="s">
        <v>589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107.2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2</v>
      </c>
      <c r="I3" s="181"/>
      <c r="J3" s="181"/>
      <c r="K3" s="181"/>
      <c r="L3" s="181" t="s">
        <v>4</v>
      </c>
      <c r="M3" s="181" t="s">
        <v>6</v>
      </c>
      <c r="N3" s="193" t="s">
        <v>5</v>
      </c>
    </row>
    <row r="4" spans="1:14" s="2" customFormat="1" ht="21" customHeight="1" thickBot="1">
      <c r="A4" s="192"/>
      <c r="B4" s="189"/>
      <c r="C4" s="190"/>
      <c r="D4" s="190"/>
      <c r="E4" s="182"/>
      <c r="F4" s="182"/>
      <c r="G4" s="182"/>
      <c r="H4" s="6">
        <v>1</v>
      </c>
      <c r="I4" s="6">
        <v>2</v>
      </c>
      <c r="J4" s="6">
        <v>3</v>
      </c>
      <c r="K4" s="6" t="s">
        <v>8</v>
      </c>
      <c r="L4" s="182"/>
      <c r="M4" s="182"/>
      <c r="N4" s="194"/>
    </row>
    <row r="5" spans="1:14" ht="16">
      <c r="B5" s="187" t="s">
        <v>174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97">
        <v>1</v>
      </c>
      <c r="B6" s="29" t="s">
        <v>175</v>
      </c>
      <c r="C6" s="29" t="s">
        <v>176</v>
      </c>
      <c r="D6" s="29" t="s">
        <v>398</v>
      </c>
      <c r="E6" s="29" t="str">
        <f>"1,1181"</f>
        <v>1,1181</v>
      </c>
      <c r="F6" s="29" t="s">
        <v>13</v>
      </c>
      <c r="G6" s="29" t="s">
        <v>24</v>
      </c>
      <c r="H6" s="108" t="s">
        <v>132</v>
      </c>
      <c r="I6" s="108" t="s">
        <v>17</v>
      </c>
      <c r="J6" s="109" t="s">
        <v>177</v>
      </c>
      <c r="K6" s="105"/>
      <c r="L6" s="90">
        <v>47.5</v>
      </c>
      <c r="M6" s="90" t="str">
        <f>"53,1098"</f>
        <v>53,1098</v>
      </c>
      <c r="N6" s="29" t="s">
        <v>424</v>
      </c>
    </row>
    <row r="7" spans="1:14">
      <c r="A7" s="99">
        <v>1</v>
      </c>
      <c r="B7" s="30" t="s">
        <v>178</v>
      </c>
      <c r="C7" s="30" t="s">
        <v>179</v>
      </c>
      <c r="D7" s="30" t="s">
        <v>399</v>
      </c>
      <c r="E7" s="30" t="str">
        <f>"1,0037"</f>
        <v>1,0037</v>
      </c>
      <c r="F7" s="30" t="s">
        <v>13</v>
      </c>
      <c r="G7" s="30" t="s">
        <v>24</v>
      </c>
      <c r="H7" s="111" t="s">
        <v>97</v>
      </c>
      <c r="I7" s="111" t="s">
        <v>98</v>
      </c>
      <c r="J7" s="110" t="s">
        <v>25</v>
      </c>
      <c r="K7" s="106"/>
      <c r="L7" s="92" t="s">
        <v>98</v>
      </c>
      <c r="M7" s="92" t="str">
        <f>"75,2775"</f>
        <v>75,2775</v>
      </c>
      <c r="N7" s="30" t="s">
        <v>134</v>
      </c>
    </row>
    <row r="9" spans="1:14" ht="16">
      <c r="B9" s="178" t="s">
        <v>10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</row>
    <row r="10" spans="1:14">
      <c r="A10" s="82">
        <v>1</v>
      </c>
      <c r="B10" s="31" t="s">
        <v>180</v>
      </c>
      <c r="C10" s="31" t="s">
        <v>181</v>
      </c>
      <c r="D10" s="31" t="s">
        <v>356</v>
      </c>
      <c r="E10" s="31" t="str">
        <f>"0,9250"</f>
        <v>0,9250</v>
      </c>
      <c r="F10" s="31" t="s">
        <v>13</v>
      </c>
      <c r="G10" s="31" t="s">
        <v>24</v>
      </c>
      <c r="H10" s="103" t="s">
        <v>177</v>
      </c>
      <c r="I10" s="103" t="s">
        <v>182</v>
      </c>
      <c r="J10" s="104" t="s">
        <v>183</v>
      </c>
      <c r="K10" s="101"/>
      <c r="L10" s="93">
        <v>57.5</v>
      </c>
      <c r="M10" s="93" t="str">
        <f>"53,1875"</f>
        <v>53,1875</v>
      </c>
      <c r="N10" s="31" t="s">
        <v>425</v>
      </c>
    </row>
    <row r="12" spans="1:14" ht="16">
      <c r="B12" s="178" t="s">
        <v>29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</row>
    <row r="13" spans="1:14">
      <c r="A13" s="97">
        <v>1</v>
      </c>
      <c r="B13" s="29" t="s">
        <v>184</v>
      </c>
      <c r="C13" s="29" t="s">
        <v>185</v>
      </c>
      <c r="D13" s="29" t="s">
        <v>400</v>
      </c>
      <c r="E13" s="29" t="str">
        <f>"0,7569"</f>
        <v>0,7569</v>
      </c>
      <c r="F13" s="29" t="s">
        <v>13</v>
      </c>
      <c r="G13" s="29" t="s">
        <v>186</v>
      </c>
      <c r="H13" s="108" t="s">
        <v>21</v>
      </c>
      <c r="I13" s="108" t="s">
        <v>91</v>
      </c>
      <c r="J13" s="109" t="s">
        <v>99</v>
      </c>
      <c r="K13" s="105"/>
      <c r="L13" s="90" t="s">
        <v>91</v>
      </c>
      <c r="M13" s="90" t="str">
        <f>"98,3970"</f>
        <v>98,3970</v>
      </c>
      <c r="N13" s="29" t="s">
        <v>134</v>
      </c>
    </row>
    <row r="14" spans="1:14">
      <c r="A14" s="99">
        <v>1</v>
      </c>
      <c r="B14" s="30" t="s">
        <v>187</v>
      </c>
      <c r="C14" s="30" t="s">
        <v>188</v>
      </c>
      <c r="D14" s="30" t="s">
        <v>401</v>
      </c>
      <c r="E14" s="30" t="str">
        <f>"0,7228"</f>
        <v>0,7228</v>
      </c>
      <c r="F14" s="30" t="s">
        <v>13</v>
      </c>
      <c r="G14" s="30" t="s">
        <v>24</v>
      </c>
      <c r="H14" s="110" t="s">
        <v>66</v>
      </c>
      <c r="I14" s="111" t="s">
        <v>50</v>
      </c>
      <c r="J14" s="110" t="s">
        <v>56</v>
      </c>
      <c r="K14" s="106"/>
      <c r="L14" s="92" t="s">
        <v>50</v>
      </c>
      <c r="M14" s="92" t="str">
        <f>"112,0340"</f>
        <v>112,0340</v>
      </c>
      <c r="N14" s="29" t="s">
        <v>134</v>
      </c>
    </row>
    <row r="16" spans="1:14" ht="16">
      <c r="B16" s="178" t="s">
        <v>165</v>
      </c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</row>
    <row r="17" spans="1:14">
      <c r="A17" s="97">
        <v>1</v>
      </c>
      <c r="B17" s="29" t="s">
        <v>189</v>
      </c>
      <c r="C17" s="29" t="s">
        <v>190</v>
      </c>
      <c r="D17" s="29" t="s">
        <v>402</v>
      </c>
      <c r="E17" s="29" t="str">
        <f>"0,6822"</f>
        <v>0,6822</v>
      </c>
      <c r="F17" s="29" t="s">
        <v>13</v>
      </c>
      <c r="G17" s="29" t="s">
        <v>191</v>
      </c>
      <c r="H17" s="108" t="s">
        <v>99</v>
      </c>
      <c r="I17" s="108" t="s">
        <v>192</v>
      </c>
      <c r="J17" s="109" t="s">
        <v>66</v>
      </c>
      <c r="K17" s="105"/>
      <c r="L17" s="90">
        <v>142.5</v>
      </c>
      <c r="M17" s="90" t="str">
        <f>"97,2135"</f>
        <v>97,2135</v>
      </c>
      <c r="N17" s="29" t="s">
        <v>134</v>
      </c>
    </row>
    <row r="18" spans="1:14">
      <c r="A18" s="98">
        <v>1</v>
      </c>
      <c r="B18" s="41" t="s">
        <v>193</v>
      </c>
      <c r="C18" s="41" t="s">
        <v>194</v>
      </c>
      <c r="D18" s="41" t="s">
        <v>403</v>
      </c>
      <c r="E18" s="41" t="str">
        <f>"0,6811"</f>
        <v>0,6811</v>
      </c>
      <c r="F18" s="41" t="s">
        <v>116</v>
      </c>
      <c r="G18" s="41" t="s">
        <v>24</v>
      </c>
      <c r="H18" s="113" t="s">
        <v>50</v>
      </c>
      <c r="I18" s="113" t="s">
        <v>56</v>
      </c>
      <c r="J18" s="112" t="s">
        <v>60</v>
      </c>
      <c r="K18" s="107"/>
      <c r="L18" s="91" t="s">
        <v>56</v>
      </c>
      <c r="M18" s="91" t="str">
        <f>"108,9760"</f>
        <v>108,9760</v>
      </c>
      <c r="N18" s="41" t="s">
        <v>426</v>
      </c>
    </row>
    <row r="19" spans="1:14">
      <c r="A19" s="98">
        <v>2</v>
      </c>
      <c r="B19" s="41" t="s">
        <v>195</v>
      </c>
      <c r="C19" s="41" t="s">
        <v>196</v>
      </c>
      <c r="D19" s="41" t="s">
        <v>404</v>
      </c>
      <c r="E19" s="41" t="str">
        <f>"0,6854"</f>
        <v>0,6854</v>
      </c>
      <c r="F19" s="41" t="s">
        <v>90</v>
      </c>
      <c r="G19" s="41" t="s">
        <v>24</v>
      </c>
      <c r="H19" s="113" t="s">
        <v>66</v>
      </c>
      <c r="I19" s="113" t="s">
        <v>49</v>
      </c>
      <c r="J19" s="112" t="s">
        <v>50</v>
      </c>
      <c r="K19" s="107"/>
      <c r="L19" s="91" t="s">
        <v>49</v>
      </c>
      <c r="M19" s="91" t="str">
        <f>"102,8100"</f>
        <v>102,8100</v>
      </c>
      <c r="N19" s="41" t="s">
        <v>134</v>
      </c>
    </row>
    <row r="20" spans="1:14">
      <c r="A20" s="98">
        <v>3</v>
      </c>
      <c r="B20" s="41" t="s">
        <v>197</v>
      </c>
      <c r="C20" s="41" t="s">
        <v>198</v>
      </c>
      <c r="D20" s="41" t="s">
        <v>386</v>
      </c>
      <c r="E20" s="41" t="str">
        <f>"0,6999"</f>
        <v>0,6999</v>
      </c>
      <c r="F20" s="41" t="s">
        <v>168</v>
      </c>
      <c r="G20" s="41" t="s">
        <v>24</v>
      </c>
      <c r="H20" s="113" t="s">
        <v>48</v>
      </c>
      <c r="I20" s="113" t="s">
        <v>66</v>
      </c>
      <c r="J20" s="112" t="s">
        <v>49</v>
      </c>
      <c r="K20" s="107"/>
      <c r="L20" s="91" t="s">
        <v>66</v>
      </c>
      <c r="M20" s="91" t="str">
        <f>"101,4855"</f>
        <v>101,4855</v>
      </c>
      <c r="N20" s="41" t="s">
        <v>134</v>
      </c>
    </row>
    <row r="21" spans="1:14">
      <c r="A21" s="165">
        <v>4</v>
      </c>
      <c r="B21" s="30" t="s">
        <v>199</v>
      </c>
      <c r="C21" s="30" t="s">
        <v>200</v>
      </c>
      <c r="D21" s="30" t="s">
        <v>405</v>
      </c>
      <c r="E21" s="30" t="str">
        <f>"0,6951"</f>
        <v>0,6951</v>
      </c>
      <c r="F21" s="30" t="s">
        <v>13</v>
      </c>
      <c r="G21" s="30" t="s">
        <v>24</v>
      </c>
      <c r="H21" s="111" t="s">
        <v>192</v>
      </c>
      <c r="I21" s="110" t="s">
        <v>66</v>
      </c>
      <c r="J21" s="111" t="s">
        <v>66</v>
      </c>
      <c r="K21" s="106"/>
      <c r="L21" s="92" t="s">
        <v>66</v>
      </c>
      <c r="M21" s="92" t="str">
        <f>"100,7895"</f>
        <v>100,7895</v>
      </c>
      <c r="N21" s="41" t="s">
        <v>134</v>
      </c>
    </row>
    <row r="23" spans="1:14" ht="16">
      <c r="B23" s="178" t="s">
        <v>41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</row>
    <row r="24" spans="1:14">
      <c r="A24" s="97">
        <v>1</v>
      </c>
      <c r="B24" s="29" t="s">
        <v>201</v>
      </c>
      <c r="C24" s="29" t="s">
        <v>202</v>
      </c>
      <c r="D24" s="29" t="s">
        <v>406</v>
      </c>
      <c r="E24" s="29" t="str">
        <f>"0,6440"</f>
        <v>0,6440</v>
      </c>
      <c r="F24" s="29" t="s">
        <v>13</v>
      </c>
      <c r="G24" s="29" t="s">
        <v>24</v>
      </c>
      <c r="H24" s="108" t="s">
        <v>16</v>
      </c>
      <c r="I24" s="108" t="s">
        <v>20</v>
      </c>
      <c r="J24" s="109" t="s">
        <v>156</v>
      </c>
      <c r="K24" s="105"/>
      <c r="L24" s="90" t="s">
        <v>20</v>
      </c>
      <c r="M24" s="90" t="str">
        <f>"77,2800"</f>
        <v>77,2800</v>
      </c>
      <c r="N24" s="29" t="s">
        <v>425</v>
      </c>
    </row>
    <row r="25" spans="1:14">
      <c r="A25" s="98">
        <v>1</v>
      </c>
      <c r="B25" s="41" t="s">
        <v>203</v>
      </c>
      <c r="C25" s="41" t="s">
        <v>204</v>
      </c>
      <c r="D25" s="41" t="s">
        <v>406</v>
      </c>
      <c r="E25" s="41" t="str">
        <f>"0,6440"</f>
        <v>0,6440</v>
      </c>
      <c r="F25" s="41" t="s">
        <v>116</v>
      </c>
      <c r="G25" s="41" t="s">
        <v>24</v>
      </c>
      <c r="H25" s="113" t="s">
        <v>120</v>
      </c>
      <c r="I25" s="113" t="s">
        <v>117</v>
      </c>
      <c r="J25" s="112" t="s">
        <v>83</v>
      </c>
      <c r="K25" s="107"/>
      <c r="L25" s="91" t="s">
        <v>117</v>
      </c>
      <c r="M25" s="91" t="str">
        <f>"119,1400"</f>
        <v>119,1400</v>
      </c>
      <c r="N25" s="41" t="s">
        <v>134</v>
      </c>
    </row>
    <row r="26" spans="1:14">
      <c r="A26" s="98">
        <v>1</v>
      </c>
      <c r="B26" s="41" t="s">
        <v>203</v>
      </c>
      <c r="C26" s="41" t="s">
        <v>205</v>
      </c>
      <c r="D26" s="41" t="s">
        <v>406</v>
      </c>
      <c r="E26" s="41" t="str">
        <f>"0,6440"</f>
        <v>0,6440</v>
      </c>
      <c r="F26" s="41" t="s">
        <v>116</v>
      </c>
      <c r="G26" s="41" t="s">
        <v>24</v>
      </c>
      <c r="H26" s="113" t="s">
        <v>120</v>
      </c>
      <c r="I26" s="113" t="s">
        <v>117</v>
      </c>
      <c r="J26" s="112" t="s">
        <v>83</v>
      </c>
      <c r="K26" s="107"/>
      <c r="L26" s="91" t="s">
        <v>117</v>
      </c>
      <c r="M26" s="91" t="str">
        <f>"119,1400"</f>
        <v>119,1400</v>
      </c>
      <c r="N26" s="41" t="s">
        <v>134</v>
      </c>
    </row>
    <row r="27" spans="1:14">
      <c r="A27" s="98">
        <v>2</v>
      </c>
      <c r="B27" s="41" t="s">
        <v>206</v>
      </c>
      <c r="C27" s="41" t="s">
        <v>207</v>
      </c>
      <c r="D27" s="41" t="s">
        <v>407</v>
      </c>
      <c r="E27" s="41" t="str">
        <f>"0,6421"</f>
        <v>0,6421</v>
      </c>
      <c r="F27" s="41" t="s">
        <v>13</v>
      </c>
      <c r="G27" s="41" t="s">
        <v>81</v>
      </c>
      <c r="H27" s="113" t="s">
        <v>50</v>
      </c>
      <c r="I27" s="113" t="s">
        <v>208</v>
      </c>
      <c r="J27" s="113" t="s">
        <v>209</v>
      </c>
      <c r="K27" s="107"/>
      <c r="L27" s="91">
        <v>167.5</v>
      </c>
      <c r="M27" s="91" t="str">
        <f>"107,5517"</f>
        <v>107,5517</v>
      </c>
      <c r="N27" s="41" t="s">
        <v>134</v>
      </c>
    </row>
    <row r="28" spans="1:14">
      <c r="A28" s="98">
        <v>3</v>
      </c>
      <c r="B28" s="41" t="s">
        <v>210</v>
      </c>
      <c r="C28" s="41" t="s">
        <v>211</v>
      </c>
      <c r="D28" s="41" t="s">
        <v>408</v>
      </c>
      <c r="E28" s="41" t="str">
        <f>"0,6511"</f>
        <v>0,6511</v>
      </c>
      <c r="F28" s="41" t="s">
        <v>212</v>
      </c>
      <c r="G28" s="41" t="s">
        <v>24</v>
      </c>
      <c r="H28" s="113" t="s">
        <v>50</v>
      </c>
      <c r="I28" s="113" t="s">
        <v>82</v>
      </c>
      <c r="J28" s="112" t="s">
        <v>169</v>
      </c>
      <c r="K28" s="107"/>
      <c r="L28" s="91" t="s">
        <v>82</v>
      </c>
      <c r="M28" s="91" t="str">
        <f>"107,4315"</f>
        <v>107,4315</v>
      </c>
      <c r="N28" s="41" t="s">
        <v>397</v>
      </c>
    </row>
    <row r="29" spans="1:14">
      <c r="A29" s="98">
        <v>4</v>
      </c>
      <c r="B29" s="41" t="s">
        <v>213</v>
      </c>
      <c r="C29" s="41" t="s">
        <v>214</v>
      </c>
      <c r="D29" s="41" t="s">
        <v>409</v>
      </c>
      <c r="E29" s="41" t="str">
        <f>"0,6451"</f>
        <v>0,6451</v>
      </c>
      <c r="F29" s="41" t="s">
        <v>212</v>
      </c>
      <c r="G29" s="41" t="s">
        <v>24</v>
      </c>
      <c r="H29" s="112" t="s">
        <v>215</v>
      </c>
      <c r="I29" s="112" t="s">
        <v>215</v>
      </c>
      <c r="J29" s="113" t="s">
        <v>215</v>
      </c>
      <c r="K29" s="107"/>
      <c r="L29" s="91">
        <v>152.5</v>
      </c>
      <c r="M29" s="91" t="str">
        <f>"98,3777"</f>
        <v>98,3777</v>
      </c>
      <c r="N29" s="41" t="s">
        <v>429</v>
      </c>
    </row>
    <row r="30" spans="1:14">
      <c r="A30" s="99">
        <v>5</v>
      </c>
      <c r="B30" s="30" t="s">
        <v>216</v>
      </c>
      <c r="C30" s="30" t="s">
        <v>217</v>
      </c>
      <c r="D30" s="30" t="s">
        <v>410</v>
      </c>
      <c r="E30" s="30" t="str">
        <f>"0,6388"</f>
        <v>0,6388</v>
      </c>
      <c r="F30" s="30" t="s">
        <v>13</v>
      </c>
      <c r="G30" s="30" t="s">
        <v>24</v>
      </c>
      <c r="H30" s="111" t="s">
        <v>91</v>
      </c>
      <c r="I30" s="110" t="s">
        <v>99</v>
      </c>
      <c r="J30" s="110" t="s">
        <v>99</v>
      </c>
      <c r="K30" s="106"/>
      <c r="L30" s="92" t="s">
        <v>91</v>
      </c>
      <c r="M30" s="92" t="str">
        <f>"83,0440"</f>
        <v>83,0440</v>
      </c>
      <c r="N30" s="30" t="s">
        <v>134</v>
      </c>
    </row>
    <row r="32" spans="1:14" ht="16">
      <c r="B32" s="178" t="s">
        <v>113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</row>
    <row r="33" spans="1:14">
      <c r="A33" s="97" t="s">
        <v>587</v>
      </c>
      <c r="B33" s="29" t="s">
        <v>218</v>
      </c>
      <c r="C33" s="29" t="s">
        <v>219</v>
      </c>
      <c r="D33" s="29" t="s">
        <v>411</v>
      </c>
      <c r="E33" s="29" t="str">
        <f>"0,6335"</f>
        <v>0,6335</v>
      </c>
      <c r="F33" s="29" t="s">
        <v>90</v>
      </c>
      <c r="G33" s="29" t="s">
        <v>24</v>
      </c>
      <c r="H33" s="109" t="s">
        <v>21</v>
      </c>
      <c r="I33" s="109" t="s">
        <v>21</v>
      </c>
      <c r="J33" s="109" t="s">
        <v>21</v>
      </c>
      <c r="K33" s="105"/>
      <c r="L33" s="90">
        <v>0</v>
      </c>
      <c r="M33" s="90" t="str">
        <f>"0,0000"</f>
        <v>0,0000</v>
      </c>
      <c r="N33" s="29" t="s">
        <v>134</v>
      </c>
    </row>
    <row r="34" spans="1:14">
      <c r="A34" s="98">
        <v>1</v>
      </c>
      <c r="B34" s="41" t="s">
        <v>220</v>
      </c>
      <c r="C34" s="41" t="s">
        <v>221</v>
      </c>
      <c r="D34" s="41" t="s">
        <v>412</v>
      </c>
      <c r="E34" s="41" t="str">
        <f>"0,6285"</f>
        <v>0,6285</v>
      </c>
      <c r="F34" s="41" t="s">
        <v>44</v>
      </c>
      <c r="G34" s="41" t="s">
        <v>24</v>
      </c>
      <c r="H34" s="113" t="s">
        <v>117</v>
      </c>
      <c r="I34" s="113" t="s">
        <v>103</v>
      </c>
      <c r="J34" s="112" t="s">
        <v>33</v>
      </c>
      <c r="K34" s="107"/>
      <c r="L34" s="91" t="s">
        <v>103</v>
      </c>
      <c r="M34" s="91" t="str">
        <f>"122,5575"</f>
        <v>122,5575</v>
      </c>
      <c r="N34" s="41" t="s">
        <v>374</v>
      </c>
    </row>
    <row r="35" spans="1:14">
      <c r="A35" s="98">
        <v>2</v>
      </c>
      <c r="B35" s="41" t="s">
        <v>222</v>
      </c>
      <c r="C35" s="41" t="s">
        <v>223</v>
      </c>
      <c r="D35" s="41" t="s">
        <v>413</v>
      </c>
      <c r="E35" s="41" t="str">
        <f>"0,6338"</f>
        <v>0,6338</v>
      </c>
      <c r="F35" s="41" t="s">
        <v>90</v>
      </c>
      <c r="G35" s="41" t="s">
        <v>24</v>
      </c>
      <c r="H35" s="113" t="s">
        <v>92</v>
      </c>
      <c r="I35" s="112" t="s">
        <v>117</v>
      </c>
      <c r="J35" s="107"/>
      <c r="K35" s="107"/>
      <c r="L35" s="91" t="s">
        <v>92</v>
      </c>
      <c r="M35" s="91" t="str">
        <f>"114,0840"</f>
        <v>114,0840</v>
      </c>
      <c r="N35" s="41" t="s">
        <v>134</v>
      </c>
    </row>
    <row r="36" spans="1:14">
      <c r="A36" s="98">
        <v>3</v>
      </c>
      <c r="B36" s="41" t="s">
        <v>224</v>
      </c>
      <c r="C36" s="41" t="s">
        <v>225</v>
      </c>
      <c r="D36" s="41" t="s">
        <v>414</v>
      </c>
      <c r="E36" s="41" t="str">
        <f>"0,6096"</f>
        <v>0,6096</v>
      </c>
      <c r="F36" s="41" t="s">
        <v>13</v>
      </c>
      <c r="G36" s="41" t="s">
        <v>163</v>
      </c>
      <c r="H36" s="113" t="s">
        <v>50</v>
      </c>
      <c r="I36" s="112" t="s">
        <v>208</v>
      </c>
      <c r="J36" s="112" t="s">
        <v>208</v>
      </c>
      <c r="K36" s="107"/>
      <c r="L36" s="91" t="s">
        <v>50</v>
      </c>
      <c r="M36" s="91" t="str">
        <f>"94,4880"</f>
        <v>94,4880</v>
      </c>
      <c r="N36" s="41" t="s">
        <v>427</v>
      </c>
    </row>
    <row r="37" spans="1:14">
      <c r="A37" s="98">
        <v>4</v>
      </c>
      <c r="B37" s="41" t="s">
        <v>226</v>
      </c>
      <c r="C37" s="41" t="s">
        <v>227</v>
      </c>
      <c r="D37" s="41" t="s">
        <v>415</v>
      </c>
      <c r="E37" s="41" t="str">
        <f>"0,6325"</f>
        <v>0,6325</v>
      </c>
      <c r="F37" s="41" t="s">
        <v>212</v>
      </c>
      <c r="G37" s="41" t="s">
        <v>24</v>
      </c>
      <c r="H37" s="113" t="s">
        <v>99</v>
      </c>
      <c r="I37" s="113" t="s">
        <v>192</v>
      </c>
      <c r="J37" s="107"/>
      <c r="K37" s="107"/>
      <c r="L37" s="91">
        <v>142.5</v>
      </c>
      <c r="M37" s="91" t="str">
        <f>"90,1312"</f>
        <v>90,1312</v>
      </c>
      <c r="N37" s="41" t="s">
        <v>134</v>
      </c>
    </row>
    <row r="38" spans="1:14">
      <c r="A38" s="99">
        <v>5</v>
      </c>
      <c r="B38" s="30" t="s">
        <v>228</v>
      </c>
      <c r="C38" s="30" t="s">
        <v>229</v>
      </c>
      <c r="D38" s="30" t="s">
        <v>416</v>
      </c>
      <c r="E38" s="30" t="str">
        <f>"0,6131"</f>
        <v>0,6131</v>
      </c>
      <c r="F38" s="30" t="s">
        <v>13</v>
      </c>
      <c r="G38" s="30" t="s">
        <v>422</v>
      </c>
      <c r="H38" s="111" t="s">
        <v>99</v>
      </c>
      <c r="I38" s="111" t="s">
        <v>192</v>
      </c>
      <c r="J38" s="110" t="s">
        <v>66</v>
      </c>
      <c r="K38" s="106"/>
      <c r="L38" s="92">
        <v>142.5</v>
      </c>
      <c r="M38" s="92" t="str">
        <f>"87,3667"</f>
        <v>87,3667</v>
      </c>
      <c r="N38" s="41" t="s">
        <v>134</v>
      </c>
    </row>
    <row r="40" spans="1:14" ht="16">
      <c r="B40" s="178" t="s">
        <v>62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</row>
    <row r="41" spans="1:14">
      <c r="A41" s="97">
        <v>1</v>
      </c>
      <c r="B41" s="29" t="s">
        <v>230</v>
      </c>
      <c r="C41" s="29" t="s">
        <v>231</v>
      </c>
      <c r="D41" s="29" t="s">
        <v>417</v>
      </c>
      <c r="E41" s="29" t="str">
        <f>"0,6015"</f>
        <v>0,6015</v>
      </c>
      <c r="F41" s="29" t="s">
        <v>44</v>
      </c>
      <c r="G41" s="29" t="s">
        <v>24</v>
      </c>
      <c r="H41" s="109" t="s">
        <v>66</v>
      </c>
      <c r="I41" s="108" t="s">
        <v>66</v>
      </c>
      <c r="J41" s="109" t="s">
        <v>50</v>
      </c>
      <c r="K41" s="105"/>
      <c r="L41" s="90" t="s">
        <v>66</v>
      </c>
      <c r="M41" s="90" t="str">
        <f>"87,2175"</f>
        <v>87,2175</v>
      </c>
      <c r="N41" s="29" t="s">
        <v>134</v>
      </c>
    </row>
    <row r="42" spans="1:14">
      <c r="A42" s="98">
        <v>1</v>
      </c>
      <c r="B42" s="41" t="s">
        <v>232</v>
      </c>
      <c r="C42" s="41" t="s">
        <v>233</v>
      </c>
      <c r="D42" s="41" t="s">
        <v>418</v>
      </c>
      <c r="E42" s="41" t="str">
        <f>"0,6050"</f>
        <v>0,6050</v>
      </c>
      <c r="F42" s="41" t="s">
        <v>90</v>
      </c>
      <c r="G42" s="41" t="s">
        <v>24</v>
      </c>
      <c r="H42" s="113" t="s">
        <v>92</v>
      </c>
      <c r="I42" s="113" t="s">
        <v>234</v>
      </c>
      <c r="J42" s="113" t="s">
        <v>235</v>
      </c>
      <c r="K42" s="107"/>
      <c r="L42" s="91">
        <v>197.5</v>
      </c>
      <c r="M42" s="91" t="str">
        <f>"119,4875"</f>
        <v>119,4875</v>
      </c>
      <c r="N42" s="29" t="s">
        <v>134</v>
      </c>
    </row>
    <row r="43" spans="1:14">
      <c r="A43" s="98">
        <v>2</v>
      </c>
      <c r="B43" s="41" t="s">
        <v>236</v>
      </c>
      <c r="C43" s="41" t="s">
        <v>237</v>
      </c>
      <c r="D43" s="41" t="s">
        <v>419</v>
      </c>
      <c r="E43" s="41" t="str">
        <f>"0,5943"</f>
        <v>0,5943</v>
      </c>
      <c r="F43" s="41" t="s">
        <v>13</v>
      </c>
      <c r="G43" s="41" t="s">
        <v>423</v>
      </c>
      <c r="H43" s="113" t="s">
        <v>120</v>
      </c>
      <c r="I43" s="113" t="s">
        <v>170</v>
      </c>
      <c r="J43" s="107"/>
      <c r="K43" s="107"/>
      <c r="L43" s="91">
        <v>177.5</v>
      </c>
      <c r="M43" s="91" t="str">
        <f>"105,4882"</f>
        <v>105,4882</v>
      </c>
      <c r="N43" s="29" t="s">
        <v>134</v>
      </c>
    </row>
    <row r="44" spans="1:14">
      <c r="A44" s="98">
        <v>3</v>
      </c>
      <c r="B44" s="41" t="s">
        <v>238</v>
      </c>
      <c r="C44" s="41" t="s">
        <v>239</v>
      </c>
      <c r="D44" s="41" t="s">
        <v>420</v>
      </c>
      <c r="E44" s="41" t="str">
        <f>"0,5945"</f>
        <v>0,5945</v>
      </c>
      <c r="F44" s="41" t="s">
        <v>13</v>
      </c>
      <c r="G44" s="41" t="s">
        <v>24</v>
      </c>
      <c r="H44" s="113" t="s">
        <v>209</v>
      </c>
      <c r="I44" s="112" t="s">
        <v>169</v>
      </c>
      <c r="J44" s="112" t="s">
        <v>169</v>
      </c>
      <c r="K44" s="107"/>
      <c r="L44" s="91">
        <v>167.5</v>
      </c>
      <c r="M44" s="91" t="str">
        <f>"99,5788"</f>
        <v>99,5788</v>
      </c>
      <c r="N44" s="41" t="s">
        <v>428</v>
      </c>
    </row>
    <row r="45" spans="1:14">
      <c r="A45" s="99">
        <v>4</v>
      </c>
      <c r="B45" s="30" t="s">
        <v>240</v>
      </c>
      <c r="C45" s="30" t="s">
        <v>241</v>
      </c>
      <c r="D45" s="30" t="s">
        <v>421</v>
      </c>
      <c r="E45" s="30" t="str">
        <f>"0,5930"</f>
        <v>0,5930</v>
      </c>
      <c r="F45" s="30" t="s">
        <v>13</v>
      </c>
      <c r="G45" s="30" t="s">
        <v>24</v>
      </c>
      <c r="H45" s="110" t="s">
        <v>82</v>
      </c>
      <c r="I45" s="110" t="s">
        <v>209</v>
      </c>
      <c r="J45" s="110" t="s">
        <v>209</v>
      </c>
      <c r="K45" s="106"/>
      <c r="L45" s="92">
        <v>0</v>
      </c>
      <c r="M45" s="92" t="str">
        <f>"0,0000"</f>
        <v>0,0000</v>
      </c>
      <c r="N45" s="30" t="s">
        <v>134</v>
      </c>
    </row>
    <row r="47" spans="1:14" ht="16">
      <c r="F47" s="23"/>
    </row>
    <row r="48" spans="1:14" ht="16">
      <c r="F48" s="23"/>
    </row>
    <row r="50" spans="1:6" ht="18">
      <c r="B50" s="24" t="s">
        <v>68</v>
      </c>
      <c r="C50" s="24"/>
    </row>
    <row r="51" spans="1:6" ht="16">
      <c r="B51" s="45" t="s">
        <v>75</v>
      </c>
      <c r="C51" s="45"/>
      <c r="D51" s="37"/>
      <c r="E51" s="37"/>
      <c r="F51" s="37"/>
    </row>
    <row r="52" spans="1:6" ht="14">
      <c r="B52" s="46"/>
      <c r="C52" s="47" t="s">
        <v>69</v>
      </c>
      <c r="D52" s="37"/>
      <c r="E52" s="37"/>
      <c r="F52" s="37"/>
    </row>
    <row r="53" spans="1:6" ht="14">
      <c r="A53" s="82" t="s">
        <v>339</v>
      </c>
      <c r="B53" s="39" t="s">
        <v>70</v>
      </c>
      <c r="C53" s="39" t="s">
        <v>71</v>
      </c>
      <c r="D53" s="39" t="s">
        <v>72</v>
      </c>
      <c r="E53" s="39" t="s">
        <v>73</v>
      </c>
      <c r="F53" s="39" t="s">
        <v>74</v>
      </c>
    </row>
    <row r="54" spans="1:6">
      <c r="A54" s="82">
        <v>1</v>
      </c>
      <c r="B54" s="130" t="s">
        <v>220</v>
      </c>
      <c r="C54" s="31" t="s">
        <v>69</v>
      </c>
      <c r="D54" s="31" t="s">
        <v>125</v>
      </c>
      <c r="E54" s="31" t="s">
        <v>103</v>
      </c>
      <c r="F54" s="68" t="s">
        <v>243</v>
      </c>
    </row>
    <row r="55" spans="1:6">
      <c r="A55" s="82">
        <v>2</v>
      </c>
      <c r="B55" s="130" t="s">
        <v>232</v>
      </c>
      <c r="C55" s="31" t="s">
        <v>69</v>
      </c>
      <c r="D55" s="31" t="s">
        <v>123</v>
      </c>
      <c r="E55" s="31" t="s">
        <v>235</v>
      </c>
      <c r="F55" s="68" t="s">
        <v>244</v>
      </c>
    </row>
    <row r="56" spans="1:6">
      <c r="A56" s="82">
        <v>3</v>
      </c>
      <c r="B56" s="130" t="s">
        <v>203</v>
      </c>
      <c r="C56" s="31" t="s">
        <v>69</v>
      </c>
      <c r="D56" s="31" t="s">
        <v>76</v>
      </c>
      <c r="E56" s="31" t="s">
        <v>117</v>
      </c>
      <c r="F56" s="68" t="s">
        <v>242</v>
      </c>
    </row>
    <row r="57" spans="1:6">
      <c r="B57" s="34"/>
      <c r="F57" s="40"/>
    </row>
    <row r="58" spans="1:6">
      <c r="B58" s="34"/>
      <c r="F58" s="40"/>
    </row>
    <row r="59" spans="1:6">
      <c r="B59" s="34"/>
      <c r="F59" s="40"/>
    </row>
    <row r="60" spans="1:6">
      <c r="B60" s="34"/>
      <c r="F60" s="40"/>
    </row>
    <row r="61" spans="1:6">
      <c r="B61" s="34"/>
      <c r="F61" s="40"/>
    </row>
    <row r="62" spans="1:6">
      <c r="B62" s="34"/>
      <c r="F62" s="40"/>
    </row>
    <row r="63" spans="1:6">
      <c r="B63" s="34"/>
      <c r="F63" s="40"/>
    </row>
    <row r="64" spans="1:6">
      <c r="B64" s="34"/>
      <c r="F64" s="40"/>
    </row>
    <row r="65" spans="2:6">
      <c r="B65" s="34"/>
      <c r="F65" s="40"/>
    </row>
    <row r="66" spans="2:6">
      <c r="B66" s="34"/>
      <c r="F66" s="40"/>
    </row>
    <row r="67" spans="2:6">
      <c r="B67" s="34"/>
      <c r="F67" s="40"/>
    </row>
    <row r="68" spans="2:6">
      <c r="B68" s="34"/>
      <c r="F68" s="40"/>
    </row>
    <row r="69" spans="2:6">
      <c r="B69" s="34"/>
      <c r="F69" s="40"/>
    </row>
    <row r="70" spans="2:6">
      <c r="B70" s="34"/>
      <c r="F70" s="40"/>
    </row>
    <row r="71" spans="2:6">
      <c r="B71" s="34"/>
      <c r="F71" s="40"/>
    </row>
    <row r="72" spans="2:6">
      <c r="B72" s="34"/>
      <c r="F72" s="40"/>
    </row>
    <row r="73" spans="2:6">
      <c r="B73" s="34"/>
      <c r="F73" s="40"/>
    </row>
  </sheetData>
  <mergeCells count="19">
    <mergeCell ref="F3:F4"/>
    <mergeCell ref="G3:G4"/>
    <mergeCell ref="H3:K3"/>
    <mergeCell ref="A1:N2"/>
    <mergeCell ref="B16:M16"/>
    <mergeCell ref="B23:M23"/>
    <mergeCell ref="B32:M32"/>
    <mergeCell ref="B40:M40"/>
    <mergeCell ref="L3:L4"/>
    <mergeCell ref="M3:M4"/>
    <mergeCell ref="A3:A4"/>
    <mergeCell ref="N3:N4"/>
    <mergeCell ref="B5:M5"/>
    <mergeCell ref="B9:M9"/>
    <mergeCell ref="B12:M12"/>
    <mergeCell ref="B3:B4"/>
    <mergeCell ref="C3:C4"/>
    <mergeCell ref="D3:D4"/>
    <mergeCell ref="E3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sqref="A1:N2"/>
    </sheetView>
  </sheetViews>
  <sheetFormatPr baseColWidth="10" defaultColWidth="8.7109375" defaultRowHeight="13" x14ac:dyDescent="0"/>
  <cols>
    <col min="2" max="2" width="26" style="22" bestFit="1" customWidth="1"/>
    <col min="3" max="3" width="22.85546875" style="22" bestFit="1" customWidth="1"/>
    <col min="4" max="4" width="10.5703125" style="22" bestFit="1" customWidth="1"/>
    <col min="5" max="5" width="8.42578125" style="22" bestFit="1" customWidth="1"/>
    <col min="6" max="6" width="22.7109375" style="22" bestFit="1" customWidth="1"/>
    <col min="7" max="7" width="29" style="22" bestFit="1" customWidth="1"/>
    <col min="8" max="10" width="5.5703125" style="102" bestFit="1" customWidth="1"/>
    <col min="11" max="11" width="4.5703125" style="102" bestFit="1" customWidth="1"/>
    <col min="12" max="12" width="7.85546875" style="102" bestFit="1" customWidth="1"/>
    <col min="13" max="13" width="8.5703125" style="102" bestFit="1" customWidth="1"/>
    <col min="14" max="14" width="15.7109375" style="22" bestFit="1" customWidth="1"/>
  </cols>
  <sheetData>
    <row r="1" spans="1:14" s="1" customFormat="1" ht="15" customHeight="1">
      <c r="A1" s="183" t="s">
        <v>588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4" s="1" customFormat="1" ht="111.75" customHeight="1" thickBo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14" s="2" customFormat="1" ht="12.75" customHeight="1" thickBot="1">
      <c r="A3" s="191" t="s">
        <v>339</v>
      </c>
      <c r="B3" s="188" t="s">
        <v>0</v>
      </c>
      <c r="C3" s="190" t="s">
        <v>341</v>
      </c>
      <c r="D3" s="190" t="s">
        <v>342</v>
      </c>
      <c r="E3" s="181" t="s">
        <v>9</v>
      </c>
      <c r="F3" s="181" t="s">
        <v>7</v>
      </c>
      <c r="G3" s="181" t="s">
        <v>343</v>
      </c>
      <c r="H3" s="181" t="s">
        <v>2</v>
      </c>
      <c r="I3" s="181"/>
      <c r="J3" s="181"/>
      <c r="K3" s="181"/>
      <c r="L3" s="181" t="s">
        <v>4</v>
      </c>
      <c r="M3" s="181" t="s">
        <v>6</v>
      </c>
      <c r="N3" s="193" t="s">
        <v>5</v>
      </c>
    </row>
    <row r="4" spans="1:14" s="2" customFormat="1" ht="21" customHeight="1" thickBot="1">
      <c r="A4" s="192"/>
      <c r="B4" s="189"/>
      <c r="C4" s="190"/>
      <c r="D4" s="190"/>
      <c r="E4" s="182"/>
      <c r="F4" s="182"/>
      <c r="G4" s="182"/>
      <c r="H4" s="6">
        <v>1</v>
      </c>
      <c r="I4" s="6">
        <v>2</v>
      </c>
      <c r="J4" s="6">
        <v>3</v>
      </c>
      <c r="K4" s="6" t="s">
        <v>8</v>
      </c>
      <c r="L4" s="182"/>
      <c r="M4" s="182"/>
      <c r="N4" s="194"/>
    </row>
    <row r="5" spans="1:14" ht="16">
      <c r="B5" s="187" t="s">
        <v>165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4">
      <c r="A6" s="97">
        <v>1</v>
      </c>
      <c r="B6" s="29" t="s">
        <v>166</v>
      </c>
      <c r="C6" s="29" t="s">
        <v>167</v>
      </c>
      <c r="D6" s="29" t="s">
        <v>430</v>
      </c>
      <c r="E6" s="29" t="str">
        <f>"0,6734"</f>
        <v>0,6734</v>
      </c>
      <c r="F6" s="29" t="s">
        <v>168</v>
      </c>
      <c r="G6" s="29" t="s">
        <v>24</v>
      </c>
      <c r="H6" s="108" t="s">
        <v>169</v>
      </c>
      <c r="I6" s="108" t="s">
        <v>170</v>
      </c>
      <c r="J6" s="109" t="s">
        <v>157</v>
      </c>
      <c r="K6" s="105"/>
      <c r="L6" s="90">
        <v>177.5</v>
      </c>
      <c r="M6" s="90" t="str">
        <f>"119,5285"</f>
        <v>119,5285</v>
      </c>
      <c r="N6" s="29" t="s">
        <v>429</v>
      </c>
    </row>
    <row r="7" spans="1:14">
      <c r="A7" s="99">
        <v>2</v>
      </c>
      <c r="B7" s="30" t="s">
        <v>171</v>
      </c>
      <c r="C7" s="30" t="s">
        <v>172</v>
      </c>
      <c r="D7" s="30" t="s">
        <v>431</v>
      </c>
      <c r="E7" s="30" t="str">
        <f>"0,7106"</f>
        <v>0,7106</v>
      </c>
      <c r="F7" s="30" t="s">
        <v>80</v>
      </c>
      <c r="G7" s="30" t="s">
        <v>81</v>
      </c>
      <c r="H7" s="111" t="s">
        <v>99</v>
      </c>
      <c r="I7" s="110" t="s">
        <v>48</v>
      </c>
      <c r="J7" s="110" t="s">
        <v>48</v>
      </c>
      <c r="K7" s="106"/>
      <c r="L7" s="92" t="s">
        <v>99</v>
      </c>
      <c r="M7" s="92" t="str">
        <f>"95,9310"</f>
        <v>95,9310</v>
      </c>
      <c r="N7" s="30" t="s">
        <v>345</v>
      </c>
    </row>
    <row r="9" spans="1:14" ht="16">
      <c r="B9" s="37"/>
      <c r="C9" s="37"/>
      <c r="D9" s="37"/>
      <c r="E9" s="37"/>
      <c r="F9" s="43"/>
      <c r="G9" s="37"/>
    </row>
    <row r="10" spans="1:14" ht="16">
      <c r="B10" s="37"/>
      <c r="C10" s="37"/>
      <c r="D10" s="37"/>
      <c r="E10" s="37"/>
      <c r="F10" s="43"/>
      <c r="G10" s="37"/>
    </row>
    <row r="11" spans="1:14" ht="16">
      <c r="B11" s="37"/>
      <c r="C11" s="37"/>
      <c r="D11" s="37"/>
      <c r="E11" s="37"/>
      <c r="F11" s="43"/>
      <c r="G11" s="37"/>
    </row>
    <row r="12" spans="1:14" ht="16">
      <c r="B12" s="37"/>
      <c r="C12" s="37"/>
      <c r="D12" s="37"/>
      <c r="E12" s="37"/>
      <c r="F12" s="43"/>
      <c r="G12" s="37"/>
    </row>
    <row r="13" spans="1:14" ht="16">
      <c r="B13" s="37"/>
      <c r="C13" s="37"/>
      <c r="D13" s="37"/>
      <c r="E13" s="37"/>
      <c r="F13" s="43"/>
      <c r="G13" s="37"/>
    </row>
    <row r="14" spans="1:14" ht="16">
      <c r="B14" s="37"/>
      <c r="C14" s="37"/>
      <c r="D14" s="37"/>
      <c r="E14" s="37"/>
      <c r="F14" s="43"/>
      <c r="G14" s="37"/>
    </row>
    <row r="15" spans="1:14" ht="16">
      <c r="B15" s="37"/>
      <c r="C15" s="37"/>
      <c r="D15" s="37"/>
      <c r="E15" s="37"/>
      <c r="F15" s="43"/>
      <c r="G15" s="37"/>
    </row>
    <row r="16" spans="1:14">
      <c r="B16" s="37"/>
      <c r="C16" s="37"/>
      <c r="D16" s="37"/>
      <c r="E16" s="37"/>
      <c r="F16" s="37"/>
      <c r="G16" s="37"/>
    </row>
    <row r="17" spans="2:7" ht="18">
      <c r="B17" s="44"/>
      <c r="C17" s="44"/>
      <c r="D17" s="37"/>
      <c r="E17" s="37"/>
      <c r="F17" s="37"/>
      <c r="G17" s="37"/>
    </row>
    <row r="18" spans="2:7" ht="16">
      <c r="B18" s="45"/>
      <c r="C18" s="45"/>
      <c r="D18" s="37"/>
      <c r="E18" s="37"/>
      <c r="F18" s="37"/>
      <c r="G18" s="37"/>
    </row>
    <row r="19" spans="2:7" ht="14">
      <c r="B19" s="46"/>
      <c r="C19" s="47"/>
      <c r="D19" s="37"/>
      <c r="E19" s="37"/>
      <c r="F19" s="37"/>
      <c r="G19" s="37"/>
    </row>
    <row r="20" spans="2:7" ht="14">
      <c r="B20" s="48"/>
      <c r="C20" s="48"/>
      <c r="D20" s="48"/>
      <c r="E20" s="48"/>
      <c r="F20" s="48"/>
      <c r="G20" s="37"/>
    </row>
    <row r="21" spans="2:7">
      <c r="B21" s="49"/>
      <c r="C21" s="37"/>
      <c r="D21" s="37"/>
      <c r="E21" s="37"/>
      <c r="F21" s="50"/>
      <c r="G21" s="37"/>
    </row>
    <row r="22" spans="2:7">
      <c r="B22" s="49"/>
      <c r="C22" s="37"/>
      <c r="D22" s="37"/>
      <c r="E22" s="37"/>
      <c r="F22" s="50"/>
      <c r="G22" s="37"/>
    </row>
  </sheetData>
  <mergeCells count="13">
    <mergeCell ref="B5:M5"/>
    <mergeCell ref="B3:B4"/>
    <mergeCell ref="C3:C4"/>
    <mergeCell ref="D3:D4"/>
    <mergeCell ref="E3:E4"/>
    <mergeCell ref="F3:F4"/>
    <mergeCell ref="G3:G4"/>
    <mergeCell ref="H3:K3"/>
    <mergeCell ref="A1:N2"/>
    <mergeCell ref="A3:A4"/>
    <mergeCell ref="L3:L4"/>
    <mergeCell ref="M3:M4"/>
    <mergeCell ref="N3:N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ПЛ без экипировки ДК</vt:lpstr>
      <vt:lpstr>ПЛ без экипировки</vt:lpstr>
      <vt:lpstr>ПЛ в бинтах ДК</vt:lpstr>
      <vt:lpstr>ПЛ в бинтах</vt:lpstr>
      <vt:lpstr>ПЛ однослой ДК</vt:lpstr>
      <vt:lpstr>Присед без экипировки ДК</vt:lpstr>
      <vt:lpstr>Жим без экипировки ДК</vt:lpstr>
      <vt:lpstr>Жим без экипировки</vt:lpstr>
      <vt:lpstr>Жим однослой ДК</vt:lpstr>
      <vt:lpstr>Жим однослой</vt:lpstr>
      <vt:lpstr>Тяга без экипировки ДК</vt:lpstr>
      <vt:lpstr>Тяга без экипировки</vt:lpstr>
      <vt:lpstr>Тяга в экипировке ДК</vt:lpstr>
      <vt:lpstr>СПР Жим софт "Стандарт" д.к.</vt:lpstr>
      <vt:lpstr>СПР Жим софт "Стандарт"</vt:lpstr>
      <vt:lpstr>СПР Жим софт "Ультра" д.к.</vt:lpstr>
      <vt:lpstr>СПР НЖ 1_2 вес д.к.</vt:lpstr>
      <vt:lpstr>СПР НЖ 1 вес д.к.</vt:lpstr>
      <vt:lpstr>СПР НЖ 1_2 вес</vt:lpstr>
      <vt:lpstr>СПР НЖ 1 вес</vt:lpstr>
      <vt:lpstr>Apollon`s Axle</vt:lpstr>
      <vt:lpstr>ЖД любители ДК</vt:lpstr>
      <vt:lpstr>ЖД любители</vt:lpstr>
      <vt:lpstr>ЖД софт однослой</vt:lpstr>
      <vt:lpstr>Воен. жим на макс</vt:lpstr>
      <vt:lpstr>Воен. жим многоповт</vt:lpstr>
      <vt:lpstr>Командный зачет</vt:lpstr>
      <vt:lpstr>Судейская бригада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Кузнецов Руслан</cp:lastModifiedBy>
  <cp:lastPrinted>2015-07-16T19:10:53Z</cp:lastPrinted>
  <dcterms:created xsi:type="dcterms:W3CDTF">2002-06-16T13:36:44Z</dcterms:created>
  <dcterms:modified xsi:type="dcterms:W3CDTF">2017-12-26T20:12:11Z</dcterms:modified>
</cp:coreProperties>
</file>